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O:\HSP - NEW\Funding Cycle\2018 HSP\Solicitation\Drafts_Dec 2018\HSP Incentives\"/>
    </mc:Choice>
  </mc:AlternateContent>
  <xr:revisionPtr revIDLastSave="0" documentId="8_{C00D0055-8B55-4C8B-BA08-32691BD9A480}" xr6:coauthVersionLast="31" xr6:coauthVersionMax="31" xr10:uidLastSave="{00000000-0000-0000-0000-000000000000}"/>
  <bookViews>
    <workbookView xWindow="0" yWindow="0" windowWidth="28800" windowHeight="12030" xr2:uid="{00000000-000D-0000-FFFF-FFFF00000000}"/>
  </bookViews>
  <sheets>
    <sheet name="2018 HSP Incentive Budget" sheetId="2" r:id="rId1"/>
    <sheet name="Cobenefit Tables" sheetId="3" state="hidden" r:id="rId2"/>
  </sheets>
  <definedNames>
    <definedName name="Ac">'2018 HSP Incentive Budget'!$G$10</definedName>
    <definedName name="_xlnm.Print_Area" localSheetId="0">'2018 HSP Incentive Budget'!$A$1:$T$158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2" l="1"/>
  <c r="R33" i="2" l="1"/>
  <c r="Q33" i="2"/>
  <c r="R32" i="2"/>
  <c r="Q32" i="2"/>
  <c r="R31" i="2"/>
  <c r="Q31" i="2"/>
  <c r="R30" i="2"/>
  <c r="Q30" i="2"/>
  <c r="R29" i="2"/>
  <c r="Q29" i="2"/>
  <c r="R28" i="2"/>
  <c r="Q28" i="2"/>
  <c r="S22" i="2"/>
  <c r="R22" i="2"/>
  <c r="Q22" i="2"/>
  <c r="R20" i="2"/>
  <c r="Q20" i="2"/>
  <c r="S20" i="2"/>
  <c r="R18" i="2"/>
  <c r="Q18" i="2"/>
  <c r="R12" i="2"/>
  <c r="R10" i="2"/>
  <c r="Q12" i="2"/>
  <c r="Q150" i="2" l="1"/>
  <c r="S150" i="2"/>
  <c r="Q34" i="2"/>
  <c r="R34" i="2"/>
  <c r="S34" i="2"/>
  <c r="R150" i="2"/>
  <c r="N145" i="2" l="1"/>
  <c r="O146" i="2"/>
  <c r="O126" i="2"/>
  <c r="P126" i="2"/>
  <c r="L126" i="2"/>
  <c r="P94" i="2"/>
  <c r="O94" i="2"/>
  <c r="M94" i="2"/>
  <c r="L94" i="2"/>
  <c r="O34" i="2"/>
  <c r="P34" i="2"/>
  <c r="H102" i="2" l="1"/>
  <c r="H103" i="2"/>
  <c r="H104" i="2"/>
  <c r="H105" i="2"/>
  <c r="H101" i="2"/>
  <c r="N13" i="2"/>
  <c r="K13" i="2" s="1"/>
  <c r="N12" i="2"/>
  <c r="M12" i="2" s="1"/>
  <c r="N11" i="2"/>
  <c r="M11" i="2" s="1"/>
  <c r="N10" i="2"/>
  <c r="L13" i="2" l="1"/>
  <c r="M13" i="2"/>
  <c r="M10" i="2"/>
  <c r="K12" i="2"/>
  <c r="L12" i="2"/>
  <c r="L11" i="2"/>
  <c r="K10" i="2"/>
  <c r="L10" i="2"/>
  <c r="K11" i="2"/>
  <c r="N98" i="2"/>
  <c r="N132" i="2"/>
  <c r="N133" i="2"/>
  <c r="N140" i="2"/>
  <c r="N82" i="2"/>
  <c r="N28" i="2"/>
  <c r="M28" i="2" s="1"/>
  <c r="M133" i="2"/>
  <c r="N17" i="2"/>
  <c r="L133" i="2" l="1"/>
  <c r="K133" i="2"/>
  <c r="M132" i="2"/>
  <c r="L132" i="2"/>
  <c r="K132" i="2"/>
  <c r="K17" i="2"/>
  <c r="L17" i="2"/>
  <c r="M17" i="2"/>
  <c r="K98" i="2" l="1"/>
  <c r="P146" i="2"/>
  <c r="P154" i="2" s="1"/>
  <c r="L152" i="2"/>
  <c r="M126" i="2"/>
  <c r="M152" i="2" s="1"/>
  <c r="L151" i="2"/>
  <c r="M151" i="2"/>
  <c r="L28" i="2" l="1"/>
  <c r="K28" i="2" l="1"/>
  <c r="O154" i="2" l="1"/>
  <c r="P141" i="2"/>
  <c r="O141" i="2"/>
  <c r="P153" i="2" s="1"/>
  <c r="K140" i="2"/>
  <c r="G139" i="2"/>
  <c r="N139" i="2" s="1"/>
  <c r="G138" i="2"/>
  <c r="N138" i="2" s="1"/>
  <c r="G137" i="2"/>
  <c r="N137" i="2" s="1"/>
  <c r="G136" i="2"/>
  <c r="N136" i="2" s="1"/>
  <c r="G135" i="2"/>
  <c r="N135" i="2" s="1"/>
  <c r="G134" i="2"/>
  <c r="N134" i="2" s="1"/>
  <c r="G131" i="2"/>
  <c r="N131" i="2" s="1"/>
  <c r="G130" i="2"/>
  <c r="N130" i="2" s="1"/>
  <c r="P152" i="2"/>
  <c r="O152" i="2"/>
  <c r="N125" i="2"/>
  <c r="H125" i="2"/>
  <c r="N124" i="2"/>
  <c r="K124" i="2" s="1"/>
  <c r="H124" i="2"/>
  <c r="N123" i="2"/>
  <c r="K123" i="2" s="1"/>
  <c r="H123" i="2"/>
  <c r="N122" i="2"/>
  <c r="H122" i="2"/>
  <c r="G121" i="2"/>
  <c r="N121" i="2" s="1"/>
  <c r="G120" i="2"/>
  <c r="N120" i="2" s="1"/>
  <c r="N119" i="2"/>
  <c r="N118" i="2"/>
  <c r="K118" i="2" s="1"/>
  <c r="N117" i="2"/>
  <c r="N116" i="2"/>
  <c r="N115" i="2"/>
  <c r="N114" i="2"/>
  <c r="K114" i="2" s="1"/>
  <c r="N113" i="2"/>
  <c r="N112" i="2"/>
  <c r="N111" i="2"/>
  <c r="N110" i="2"/>
  <c r="K110" i="2" s="1"/>
  <c r="N109" i="2"/>
  <c r="N108" i="2"/>
  <c r="N107" i="2"/>
  <c r="N106" i="2"/>
  <c r="K106" i="2" s="1"/>
  <c r="G105" i="2"/>
  <c r="N105" i="2" s="1"/>
  <c r="G104" i="2"/>
  <c r="N104" i="2" s="1"/>
  <c r="G103" i="2"/>
  <c r="N103" i="2" s="1"/>
  <c r="K103" i="2" s="1"/>
  <c r="G102" i="2"/>
  <c r="N102" i="2" s="1"/>
  <c r="G101" i="2"/>
  <c r="N101" i="2" s="1"/>
  <c r="N100" i="2"/>
  <c r="H100" i="2"/>
  <c r="N99" i="2"/>
  <c r="H99" i="2"/>
  <c r="P151" i="2"/>
  <c r="O151" i="2"/>
  <c r="N93" i="2"/>
  <c r="H93" i="2"/>
  <c r="N92" i="2"/>
  <c r="H92" i="2"/>
  <c r="N91" i="2"/>
  <c r="N90" i="2"/>
  <c r="N89" i="2"/>
  <c r="K89" i="2" s="1"/>
  <c r="N88" i="2"/>
  <c r="N87" i="2"/>
  <c r="N86" i="2"/>
  <c r="N85" i="2"/>
  <c r="K85" i="2" s="1"/>
  <c r="N84" i="2"/>
  <c r="N83" i="2"/>
  <c r="H83" i="2"/>
  <c r="H82" i="2"/>
  <c r="G81" i="2"/>
  <c r="N81" i="2" s="1"/>
  <c r="K81" i="2" s="1"/>
  <c r="G80" i="2"/>
  <c r="N80" i="2" s="1"/>
  <c r="K80" i="2" s="1"/>
  <c r="G79" i="2"/>
  <c r="N79" i="2" s="1"/>
  <c r="K79" i="2" s="1"/>
  <c r="G78" i="2"/>
  <c r="N78" i="2" s="1"/>
  <c r="K78" i="2" s="1"/>
  <c r="N77" i="2"/>
  <c r="N76" i="2"/>
  <c r="K76" i="2" s="1"/>
  <c r="N75" i="2"/>
  <c r="N74" i="2"/>
  <c r="K74" i="2" s="1"/>
  <c r="G73" i="2"/>
  <c r="N73" i="2" s="1"/>
  <c r="G72" i="2"/>
  <c r="N72" i="2" s="1"/>
  <c r="G71" i="2"/>
  <c r="N71" i="2" s="1"/>
  <c r="G70" i="2"/>
  <c r="N70" i="2" s="1"/>
  <c r="G69" i="2"/>
  <c r="N69" i="2" s="1"/>
  <c r="G68" i="2"/>
  <c r="N68" i="2" s="1"/>
  <c r="G67" i="2"/>
  <c r="N67" i="2" s="1"/>
  <c r="G66" i="2"/>
  <c r="N66" i="2" s="1"/>
  <c r="N65" i="2"/>
  <c r="N64" i="2"/>
  <c r="N63" i="2"/>
  <c r="N62" i="2"/>
  <c r="K62" i="2" s="1"/>
  <c r="N61" i="2"/>
  <c r="N60" i="2"/>
  <c r="N59" i="2"/>
  <c r="N58" i="2"/>
  <c r="K58" i="2" s="1"/>
  <c r="N57" i="2"/>
  <c r="N56" i="2"/>
  <c r="K56" i="2" s="1"/>
  <c r="N55" i="2"/>
  <c r="N54" i="2"/>
  <c r="K54" i="2" s="1"/>
  <c r="G53" i="2"/>
  <c r="N53" i="2" s="1"/>
  <c r="G52" i="2"/>
  <c r="N52" i="2" s="1"/>
  <c r="G51" i="2"/>
  <c r="N51" i="2" s="1"/>
  <c r="G50" i="2"/>
  <c r="N50" i="2" s="1"/>
  <c r="G49" i="2"/>
  <c r="N49" i="2" s="1"/>
  <c r="G48" i="2"/>
  <c r="N48" i="2" s="1"/>
  <c r="G47" i="2"/>
  <c r="N47" i="2" s="1"/>
  <c r="G46" i="2"/>
  <c r="N46" i="2" s="1"/>
  <c r="G45" i="2"/>
  <c r="N45" i="2" s="1"/>
  <c r="G44" i="2"/>
  <c r="N44" i="2" s="1"/>
  <c r="K44" i="2" s="1"/>
  <c r="G43" i="2"/>
  <c r="N43" i="2" s="1"/>
  <c r="G42" i="2"/>
  <c r="N42" i="2" s="1"/>
  <c r="G41" i="2"/>
  <c r="N41" i="2" s="1"/>
  <c r="G40" i="2"/>
  <c r="N40" i="2" s="1"/>
  <c r="G39" i="2"/>
  <c r="N39" i="2" s="1"/>
  <c r="G38" i="2"/>
  <c r="N38" i="2" s="1"/>
  <c r="P150" i="2"/>
  <c r="O150" i="2"/>
  <c r="N33" i="2"/>
  <c r="M33" i="2" s="1"/>
  <c r="N32" i="2"/>
  <c r="M32" i="2" s="1"/>
  <c r="N31" i="2"/>
  <c r="M31" i="2" s="1"/>
  <c r="N30" i="2"/>
  <c r="M30" i="2" s="1"/>
  <c r="N29" i="2"/>
  <c r="M29" i="2" s="1"/>
  <c r="N25" i="2"/>
  <c r="N24" i="2"/>
  <c r="N23" i="2"/>
  <c r="N22" i="2"/>
  <c r="N21" i="2"/>
  <c r="N20" i="2"/>
  <c r="N19" i="2"/>
  <c r="N18" i="2"/>
  <c r="N16" i="2"/>
  <c r="N15" i="2"/>
  <c r="N14" i="2"/>
  <c r="N34" i="2" l="1"/>
  <c r="N150" i="2" s="1"/>
  <c r="N94" i="2"/>
  <c r="N151" i="2" s="1"/>
  <c r="N126" i="2"/>
  <c r="N152" i="2" s="1"/>
  <c r="M145" i="2"/>
  <c r="M146" i="2" s="1"/>
  <c r="M154" i="2" s="1"/>
  <c r="L145" i="2"/>
  <c r="K99" i="2"/>
  <c r="P155" i="2"/>
  <c r="K137" i="2"/>
  <c r="K67" i="2"/>
  <c r="K40" i="2"/>
  <c r="K41" i="2"/>
  <c r="K48" i="2"/>
  <c r="K60" i="2"/>
  <c r="K47" i="2"/>
  <c r="K64" i="2"/>
  <c r="K52" i="2"/>
  <c r="K65" i="2"/>
  <c r="K83" i="2"/>
  <c r="K102" i="2"/>
  <c r="K38" i="2"/>
  <c r="K53" i="2"/>
  <c r="K59" i="2"/>
  <c r="K72" i="2"/>
  <c r="K84" i="2"/>
  <c r="K90" i="2"/>
  <c r="K108" i="2"/>
  <c r="K139" i="2"/>
  <c r="K91" i="2"/>
  <c r="K115" i="2"/>
  <c r="K134" i="2"/>
  <c r="K116" i="2"/>
  <c r="K135" i="2"/>
  <c r="K39" i="2"/>
  <c r="K73" i="2"/>
  <c r="K51" i="2"/>
  <c r="K117" i="2"/>
  <c r="L130" i="2"/>
  <c r="M130" i="2"/>
  <c r="K130" i="2"/>
  <c r="K136" i="2"/>
  <c r="K66" i="2"/>
  <c r="K109" i="2"/>
  <c r="K131" i="2"/>
  <c r="L131" i="2"/>
  <c r="M131" i="2"/>
  <c r="K50" i="2"/>
  <c r="K55" i="2"/>
  <c r="K92" i="2"/>
  <c r="K68" i="2"/>
  <c r="K75" i="2"/>
  <c r="K87" i="2"/>
  <c r="K105" i="2"/>
  <c r="K111" i="2"/>
  <c r="K120" i="2"/>
  <c r="K122" i="2"/>
  <c r="K125" i="2"/>
  <c r="K61" i="2"/>
  <c r="K45" i="2"/>
  <c r="K86" i="2"/>
  <c r="K104" i="2"/>
  <c r="K46" i="2"/>
  <c r="K24" i="2"/>
  <c r="L24" i="2"/>
  <c r="M24" i="2"/>
  <c r="K57" i="2"/>
  <c r="K63" i="2"/>
  <c r="K69" i="2"/>
  <c r="K82" i="2"/>
  <c r="K88" i="2"/>
  <c r="K93" i="2"/>
  <c r="K100" i="2"/>
  <c r="K112" i="2"/>
  <c r="N146" i="2"/>
  <c r="N154" i="2" s="1"/>
  <c r="K145" i="2"/>
  <c r="K146" i="2" s="1"/>
  <c r="K154" i="2" s="1"/>
  <c r="K49" i="2"/>
  <c r="K77" i="2"/>
  <c r="L25" i="2"/>
  <c r="M25" i="2"/>
  <c r="K25" i="2"/>
  <c r="K101" i="2"/>
  <c r="K113" i="2"/>
  <c r="K119" i="2"/>
  <c r="K121" i="2"/>
  <c r="K42" i="2"/>
  <c r="K70" i="2"/>
  <c r="K43" i="2"/>
  <c r="K71" i="2"/>
  <c r="K107" i="2"/>
  <c r="K138" i="2"/>
  <c r="L23" i="2"/>
  <c r="M23" i="2"/>
  <c r="K23" i="2"/>
  <c r="K15" i="2"/>
  <c r="L15" i="2"/>
  <c r="M15" i="2"/>
  <c r="M18" i="2"/>
  <c r="K18" i="2"/>
  <c r="L18" i="2"/>
  <c r="K22" i="2"/>
  <c r="L22" i="2"/>
  <c r="M22" i="2"/>
  <c r="K14" i="2"/>
  <c r="L14" i="2"/>
  <c r="M14" i="2"/>
  <c r="L21" i="2"/>
  <c r="M21" i="2"/>
  <c r="K21" i="2"/>
  <c r="K19" i="2"/>
  <c r="L19" i="2"/>
  <c r="M19" i="2"/>
  <c r="K20" i="2"/>
  <c r="L20" i="2"/>
  <c r="M20" i="2"/>
  <c r="K16" i="2"/>
  <c r="L16" i="2"/>
  <c r="M16" i="2"/>
  <c r="K31" i="2"/>
  <c r="L31" i="2"/>
  <c r="K33" i="2"/>
  <c r="L33" i="2"/>
  <c r="K29" i="2"/>
  <c r="L29" i="2"/>
  <c r="L32" i="2"/>
  <c r="K32" i="2"/>
  <c r="L30" i="2"/>
  <c r="K30" i="2"/>
  <c r="N141" i="2"/>
  <c r="N153" i="2" s="1"/>
  <c r="O153" i="2"/>
  <c r="O155" i="2" s="1"/>
  <c r="L34" i="2" l="1"/>
  <c r="L150" i="2" s="1"/>
  <c r="K34" i="2"/>
  <c r="K150" i="2" s="1"/>
  <c r="M34" i="2"/>
  <c r="M150" i="2" s="1"/>
  <c r="K94" i="2"/>
  <c r="K151" i="2" s="1"/>
  <c r="K126" i="2"/>
  <c r="K152" i="2" s="1"/>
  <c r="N155" i="2"/>
  <c r="D5" i="2" s="1"/>
  <c r="L141" i="2"/>
  <c r="L153" i="2" s="1"/>
  <c r="K141" i="2"/>
  <c r="K153" i="2" s="1"/>
  <c r="M141" i="2"/>
  <c r="M153" i="2" s="1"/>
  <c r="L146" i="2"/>
  <c r="L154" i="2" s="1"/>
  <c r="M155" i="2" l="1"/>
  <c r="L155" i="2"/>
  <c r="K155" i="2"/>
</calcChain>
</file>

<file path=xl/sharedStrings.xml><?xml version="1.0" encoding="utf-8"?>
<sst xmlns="http://schemas.openxmlformats.org/spreadsheetml/2006/main" count="752" uniqueCount="286">
  <si>
    <t>1. Soil Management Practices</t>
  </si>
  <si>
    <t>Management Practice</t>
  </si>
  <si>
    <t>Practice Implementation
(COMET-Planner)</t>
  </si>
  <si>
    <t xml:space="preserve">Practice Requirements </t>
  </si>
  <si>
    <t>Scenario Name</t>
  </si>
  <si>
    <t>Payment Unit</t>
  </si>
  <si>
    <t>Payment Rate</t>
  </si>
  <si>
    <t>Acres</t>
  </si>
  <si>
    <t>Match Amount</t>
  </si>
  <si>
    <t>General purpose</t>
  </si>
  <si>
    <t>Ac</t>
  </si>
  <si>
    <t>Add Mulch to Croplands</t>
  </si>
  <si>
    <t>Natural materials</t>
  </si>
  <si>
    <t>Intensive Till to No Till or Strip Till on Irrigated Cropland</t>
  </si>
  <si>
    <t>No-till</t>
  </si>
  <si>
    <t>Intensive Till to No Till or Strip Till on Non-Irrigated Cropland</t>
  </si>
  <si>
    <t>Intensive Till to Reduced Till on Irrigated Cropland</t>
  </si>
  <si>
    <t>High residue</t>
  </si>
  <si>
    <t>Intensive Till to Reduced Till Non-Irrigated Cropland</t>
  </si>
  <si>
    <t>Practice Implementation
(Compost-Planner)</t>
  </si>
  <si>
    <t>Compost(C:N ≤11) application to annual crops</t>
  </si>
  <si>
    <t>Compost(C:N ≥11) application to annual crops</t>
  </si>
  <si>
    <t>Compost (C:N ≤ 11) application to tree/perennial crops</t>
  </si>
  <si>
    <t>Compost (C:N &gt; 11) application to tree/perennial crops</t>
  </si>
  <si>
    <t>Compost (C:N &gt; 11) application to grazed, irrigated pasture</t>
  </si>
  <si>
    <t>Compost (C:N &gt; 11) application to grazed rangeland</t>
  </si>
  <si>
    <t>SUBTOTAL</t>
  </si>
  <si>
    <t>2. Cropland to Herbaceous Cover Practices</t>
  </si>
  <si>
    <t>Convert Strips of Irrigated Cropland to Permanent Unfertilized Grass Cover</t>
  </si>
  <si>
    <t>Introduced, foregone income</t>
  </si>
  <si>
    <t>Native, foregone income</t>
  </si>
  <si>
    <t>Wildlife/pollinator, foregone income</t>
  </si>
  <si>
    <t>Convert Strips of Irrigated Cropland to Permanent Unfertilized Grass/Legume Cover</t>
  </si>
  <si>
    <t>Introduced species, foregone income</t>
  </si>
  <si>
    <t>Native species, foregone income</t>
  </si>
  <si>
    <t>Pollinator, foregone income</t>
  </si>
  <si>
    <t>Convert Irrigated Cropland to Permanent Unfertilized Grass Cover Near Aquatic Habitats</t>
  </si>
  <si>
    <t>Broadcast seeding with foregone income</t>
  </si>
  <si>
    <t>Plug planting with foregone income</t>
  </si>
  <si>
    <t>Combination broadcast seeding and plug planting with foregone income</t>
  </si>
  <si>
    <t>Pollinator cover with foregone income</t>
  </si>
  <si>
    <t>Convert Irrigated Cropland to Permanent Unfertilized Grass/Legume Cover Near Aquatic Habitats</t>
  </si>
  <si>
    <t>Width of the vegetative barrier must be at least 3 feet</t>
  </si>
  <si>
    <t>Seeded strips, greater than 5 feet wide</t>
  </si>
  <si>
    <t>Ft</t>
  </si>
  <si>
    <t>Perennial species</t>
  </si>
  <si>
    <t>Replace a Strip of Cropland with 1 Row of Woody Plants</t>
  </si>
  <si>
    <t>There must be at least 200 tree and shrub plantings per acre. Width of each hedgerow must be at least 8 feet.</t>
  </si>
  <si>
    <t>Single row with wind protection</t>
  </si>
  <si>
    <t>Replace a Strip of Grassland with 1 Row of Woody Plants</t>
  </si>
  <si>
    <t>Replace a Strip of Cropland Near Watercourses or Water Bodies with Woody Plants</t>
  </si>
  <si>
    <t>Bare-root, hand planted</t>
  </si>
  <si>
    <t>Bare-root, machine planted</t>
  </si>
  <si>
    <t>Cuttings, small to medium</t>
  </si>
  <si>
    <t>Cuttings, medium to large</t>
  </si>
  <si>
    <t>Small container, hand planted</t>
  </si>
  <si>
    <t>Small container, machine planted</t>
  </si>
  <si>
    <t>Large container, hand planted</t>
  </si>
  <si>
    <t>Replace a Strip of Grassland Near Watercourses or Water Bodies with Woody Plants</t>
  </si>
  <si>
    <t>There must be at least 200 tree and shrub plantings per acre. Width of each windbreak must be at least 8 feet.</t>
  </si>
  <si>
    <t>1-row, trees, containers, hand-planted, protected</t>
  </si>
  <si>
    <t>1-row, tree and/or shrub, with wind-protection fence</t>
  </si>
  <si>
    <t>Tree/Shrub Planting on Grazed Grasslands</t>
  </si>
  <si>
    <t>Establish trees, existing grasses</t>
  </si>
  <si>
    <t>Soil Test</t>
  </si>
  <si>
    <t>Number of Samples</t>
  </si>
  <si>
    <t>Soil Organic Matter Analysis</t>
  </si>
  <si>
    <t>Total Match Amount</t>
  </si>
  <si>
    <t>GRAND TOTAL</t>
  </si>
  <si>
    <t>1.1 Cropland Management Practices</t>
  </si>
  <si>
    <t>1.2 Compost Application Practices (CDFA)</t>
  </si>
  <si>
    <t>Feet</t>
  </si>
  <si>
    <t>There must be at least 35 tree and shrub plantings per acre. Width must be at least 8 feet.</t>
  </si>
  <si>
    <t>There must be at least 20 tree and shrub plantings per acre. Width must be at least 8 feet.</t>
  </si>
  <si>
    <t>Certify:</t>
  </si>
  <si>
    <t>Total Grant Requested:</t>
  </si>
  <si>
    <t>Total HSP Grant Amount Requested</t>
  </si>
  <si>
    <t>In-Kind Contribution</t>
  </si>
  <si>
    <t>Total In-Kind Contribution</t>
  </si>
  <si>
    <t>SUMMARY OF PRACTICE CATEGORY</t>
  </si>
  <si>
    <t>Grant Amount Requested</t>
  </si>
  <si>
    <t>Decrease Fallow Frequency or Add Perennial Crop to Rotations</t>
  </si>
  <si>
    <t>Basic rotation</t>
  </si>
  <si>
    <t>Improved N Fertilizer Management on Irrigated Croplands - Reduce Fertilizer Application Rate by 15%</t>
  </si>
  <si>
    <t>Improved N Fertilizer Management on Non-Irrigated Croplands - Reduce Fertilizer Application Rate by 15%</t>
  </si>
  <si>
    <t>Add Perennial Cover Grown in Strips with Irrigated Annual Crops</t>
  </si>
  <si>
    <t>Add Perennial Cover Grown in Strips with Non-Irrigated Annual Crops</t>
  </si>
  <si>
    <t>Wind and water erosion control</t>
  </si>
  <si>
    <t>Introduced species</t>
  </si>
  <si>
    <t>Introduced with foregone income</t>
  </si>
  <si>
    <t>Monarch species mix</t>
  </si>
  <si>
    <t>Monarch species mix with foregone income</t>
  </si>
  <si>
    <t>Native species</t>
  </si>
  <si>
    <t>Pollinator species</t>
  </si>
  <si>
    <t>Pollinator species with foregone income</t>
  </si>
  <si>
    <t>Convert Irrigated Cropland to Permanent Unfertilized Grass Cover or Grass/Legume Cover</t>
  </si>
  <si>
    <t>At least 50% of the rotation must be erosion resistant crops or sediment trapping cover in any given year</t>
  </si>
  <si>
    <t>Convert Non-Irrigated Cropland to Permanent Unfertilized Grass Cover or Grass/Legume Cover</t>
  </si>
  <si>
    <t xml:space="preserve"> Maintain the amount of plant biomass and cover, and protect from livestock and animal damage to ensure it performs the intended purpose(s)</t>
  </si>
  <si>
    <t xml:space="preserve"> Maintain the amount of plant biomass and cover and protect from livestock and animal damage to ensure it performs the intended purpose(s)</t>
  </si>
  <si>
    <t>Conversion of Annual Cropland to Irrigated Grass/Legume Forage/Biomass Crops</t>
  </si>
  <si>
    <t>Conversion of Annual Cropland to Non-Irrigated Grass/Legume Forage/Biomass Crops</t>
  </si>
  <si>
    <t>Non-native high seeding rate no lime</t>
  </si>
  <si>
    <t>Non-native standard seeding no fertilizer</t>
  </si>
  <si>
    <t>Non-native standard seeding with fertilizer</t>
  </si>
  <si>
    <t xml:space="preserve">Non-native, high seeding rate with lime or similar amendment </t>
  </si>
  <si>
    <t>Base waterway</t>
  </si>
  <si>
    <t>Waterway with checks</t>
  </si>
  <si>
    <t>Convert Strips of Irrigated Cropland to Permanent Unfertilized Grass Cover or  Grass/Legume Cover</t>
  </si>
  <si>
    <t>Convert Strips of Non-Irrigated Cropland to Permanent Unfertilized Grass Cover or  Grass/Legume Cover</t>
  </si>
  <si>
    <t>3.Woody Cover  Establishment Practices</t>
  </si>
  <si>
    <t>Free trees or shrubs</t>
  </si>
  <si>
    <t>Ea</t>
  </si>
  <si>
    <t>Native shrub planting</t>
  </si>
  <si>
    <t>Native tree planting</t>
  </si>
  <si>
    <t>Non-native shrubs</t>
  </si>
  <si>
    <t>Non-native tree planting</t>
  </si>
  <si>
    <t>Feet / number</t>
  </si>
  <si>
    <t>Conservation, Hand Planting, Browse protection</t>
  </si>
  <si>
    <t>Conversion of Annual Cropland to a Farm Woodlot</t>
  </si>
  <si>
    <t>Conversion of Grassland to a Farm Woodlot</t>
  </si>
  <si>
    <t>4. Grazing Lands Practices</t>
  </si>
  <si>
    <t>Pasture, basic</t>
  </si>
  <si>
    <t>Range, basic</t>
  </si>
  <si>
    <t>Grazing Management to Improve Irrigated Pasture Condition</t>
  </si>
  <si>
    <t>Native species, broadcast</t>
  </si>
  <si>
    <t>Native species high forb drilled</t>
  </si>
  <si>
    <t>Native species low forb drilled</t>
  </si>
  <si>
    <t>Non-native species broadcast</t>
  </si>
  <si>
    <t>Non-native species drilled</t>
  </si>
  <si>
    <t>Shrub plugs</t>
  </si>
  <si>
    <t>Seeding forages to improve rangeland condition</t>
  </si>
  <si>
    <t>5. Soil Organic Matter Analysis</t>
  </si>
  <si>
    <t>By checking the box on the left, the applicant certifies that the total amount of matching and in-kind funds committed to the project has been secured for the project duration implementation of eligible management practices as applicable.</t>
  </si>
  <si>
    <t>The total Requested HSP funds for the project should not exceed $75,000.</t>
  </si>
  <si>
    <t>3. Woody Cover Establishment Practices</t>
  </si>
  <si>
    <r>
      <t>Applicant Organization</t>
    </r>
    <r>
      <rPr>
        <sz val="11"/>
        <color theme="1"/>
        <rFont val="Arial"/>
        <family val="2"/>
      </rPr>
      <t xml:space="preserve"> (Agricultural Operation)</t>
    </r>
  </si>
  <si>
    <r>
      <t>Cover Crop</t>
    </r>
    <r>
      <rPr>
        <i/>
        <sz val="11"/>
        <color theme="1"/>
        <rFont val="Arial"/>
        <family val="2"/>
      </rPr>
      <t xml:space="preserve"> 
(CPS 340)</t>
    </r>
  </si>
  <si>
    <r>
      <t xml:space="preserve">Mulching 
</t>
    </r>
    <r>
      <rPr>
        <i/>
        <sz val="11"/>
        <color theme="1"/>
        <rFont val="Arial"/>
        <family val="2"/>
      </rPr>
      <t>(CPS 484)</t>
    </r>
  </si>
  <si>
    <r>
      <t>Residue and Tillage Management -
Reduced-till</t>
    </r>
    <r>
      <rPr>
        <i/>
        <sz val="11"/>
        <rFont val="Arial"/>
        <family val="2"/>
      </rPr>
      <t xml:space="preserve"> 
(CPS 345)</t>
    </r>
    <r>
      <rPr>
        <b/>
        <sz val="11"/>
        <rFont val="Arial"/>
        <family val="2"/>
      </rPr>
      <t xml:space="preserve">
</t>
    </r>
  </si>
  <si>
    <r>
      <t>Compost Application to Annual Crops</t>
    </r>
    <r>
      <rPr>
        <i/>
        <sz val="11"/>
        <rFont val="Arial"/>
        <family val="2"/>
      </rPr>
      <t xml:space="preserve"> 
(CDFA)</t>
    </r>
  </si>
  <si>
    <r>
      <t xml:space="preserve">Compost Application to Perennials, Orchards and Vineyards 
</t>
    </r>
    <r>
      <rPr>
        <i/>
        <sz val="11"/>
        <rFont val="Arial"/>
        <family val="2"/>
      </rPr>
      <t>(CDFA)</t>
    </r>
  </si>
  <si>
    <r>
      <t>Compost Application to Grassland</t>
    </r>
    <r>
      <rPr>
        <i/>
        <sz val="11"/>
        <color theme="1"/>
        <rFont val="Arial"/>
        <family val="2"/>
      </rPr>
      <t xml:space="preserve"> 
(CDFA)</t>
    </r>
  </si>
  <si>
    <r>
      <t xml:space="preserve">Contour Buffer Strips 
</t>
    </r>
    <r>
      <rPr>
        <i/>
        <sz val="11"/>
        <rFont val="Arial"/>
        <family val="2"/>
      </rPr>
      <t>(CPS 332)</t>
    </r>
  </si>
  <si>
    <r>
      <t>Field Border</t>
    </r>
    <r>
      <rPr>
        <i/>
        <sz val="11"/>
        <rFont val="Arial"/>
        <family val="2"/>
      </rPr>
      <t xml:space="preserve"> 
(CPS 386)</t>
    </r>
  </si>
  <si>
    <r>
      <t xml:space="preserve">Forage and Biomass Planting
</t>
    </r>
    <r>
      <rPr>
        <i/>
        <sz val="11"/>
        <rFont val="Arial"/>
        <family val="2"/>
      </rPr>
      <t>(CPS 512)</t>
    </r>
  </si>
  <si>
    <r>
      <t xml:space="preserve">Filter Strip 
</t>
    </r>
    <r>
      <rPr>
        <i/>
        <sz val="11"/>
        <rFont val="Arial"/>
        <family val="2"/>
      </rPr>
      <t>(CPS 393)</t>
    </r>
  </si>
  <si>
    <r>
      <t>Herbaceous Wind Barriers</t>
    </r>
    <r>
      <rPr>
        <i/>
        <sz val="11"/>
        <rFont val="Arial"/>
        <family val="2"/>
      </rPr>
      <t xml:space="preserve"> 
(CPS 603)</t>
    </r>
  </si>
  <si>
    <r>
      <t>Riparian Herbaceous Cover</t>
    </r>
    <r>
      <rPr>
        <i/>
        <sz val="11"/>
        <rFont val="Arial"/>
        <family val="2"/>
      </rPr>
      <t xml:space="preserve"> 
(CPS 390)</t>
    </r>
  </si>
  <si>
    <r>
      <t>Vegetative Barriers</t>
    </r>
    <r>
      <rPr>
        <i/>
        <sz val="11"/>
        <rFont val="Arial"/>
        <family val="2"/>
      </rPr>
      <t xml:space="preserve"> 
(CPS 601)</t>
    </r>
  </si>
  <si>
    <r>
      <t>Hedgerow Planting</t>
    </r>
    <r>
      <rPr>
        <sz val="11"/>
        <rFont val="Arial"/>
        <family val="2"/>
      </rPr>
      <t xml:space="preserve"> 
</t>
    </r>
    <r>
      <rPr>
        <i/>
        <sz val="11"/>
        <rFont val="Arial"/>
        <family val="2"/>
      </rPr>
      <t>(CPS 422)</t>
    </r>
  </si>
  <si>
    <r>
      <t xml:space="preserve">Multi-story Cropping </t>
    </r>
    <r>
      <rPr>
        <sz val="11"/>
        <rFont val="Arial"/>
        <family val="2"/>
      </rPr>
      <t xml:space="preserve">
</t>
    </r>
    <r>
      <rPr>
        <i/>
        <sz val="11"/>
        <rFont val="Arial"/>
        <family val="2"/>
      </rPr>
      <t>(CPS 379)</t>
    </r>
  </si>
  <si>
    <r>
      <t>Windbreak / Shelterbelt Establishment</t>
    </r>
    <r>
      <rPr>
        <i/>
        <sz val="11"/>
        <color theme="1"/>
        <rFont val="Arial"/>
        <family val="2"/>
      </rPr>
      <t xml:space="preserve"> 
(CPS 380)</t>
    </r>
  </si>
  <si>
    <r>
      <t>Silvopasture</t>
    </r>
    <r>
      <rPr>
        <i/>
        <sz val="11"/>
        <color theme="1"/>
        <rFont val="Arial"/>
        <family val="2"/>
      </rPr>
      <t xml:space="preserve"> 
(CPS 381)</t>
    </r>
  </si>
  <si>
    <r>
      <t xml:space="preserve">Range Planting
 </t>
    </r>
    <r>
      <rPr>
        <i/>
        <sz val="11"/>
        <color theme="1"/>
        <rFont val="Arial"/>
        <family val="2"/>
      </rPr>
      <t>(CPS 550)</t>
    </r>
  </si>
  <si>
    <r>
      <t>Riparian Forest Buffer</t>
    </r>
    <r>
      <rPr>
        <i/>
        <sz val="11"/>
        <color theme="1"/>
        <rFont val="Arial"/>
        <family val="2"/>
      </rPr>
      <t xml:space="preserve"> 
(CPS 391)</t>
    </r>
  </si>
  <si>
    <r>
      <t xml:space="preserve">Grassed Waterway 
</t>
    </r>
    <r>
      <rPr>
        <i/>
        <sz val="11"/>
        <rFont val="Arial"/>
        <family val="2"/>
      </rPr>
      <t>(CPS 412)</t>
    </r>
  </si>
  <si>
    <r>
      <t xml:space="preserve">Conservation Cover 
</t>
    </r>
    <r>
      <rPr>
        <i/>
        <sz val="11"/>
        <color theme="1"/>
        <rFont val="Arial"/>
        <family val="2"/>
      </rPr>
      <t>(CPS 327)</t>
    </r>
  </si>
  <si>
    <r>
      <t xml:space="preserve">Strip-cropping
</t>
    </r>
    <r>
      <rPr>
        <i/>
        <sz val="11"/>
        <rFont val="Arial"/>
        <family val="2"/>
      </rPr>
      <t>(CPS 585)</t>
    </r>
  </si>
  <si>
    <r>
      <t xml:space="preserve">Nutrient Management 
</t>
    </r>
    <r>
      <rPr>
        <i/>
        <sz val="11"/>
        <color theme="1"/>
        <rFont val="Arial"/>
        <family val="2"/>
      </rPr>
      <t>(CPS 590)</t>
    </r>
  </si>
  <si>
    <r>
      <t xml:space="preserve">Alley Cropping 
</t>
    </r>
    <r>
      <rPr>
        <i/>
        <sz val="11"/>
        <color theme="1"/>
        <rFont val="Arial"/>
        <family val="2"/>
      </rPr>
      <t>(CPS 311)</t>
    </r>
  </si>
  <si>
    <t>Project 
Year 1</t>
  </si>
  <si>
    <t>Project 
Year 2</t>
  </si>
  <si>
    <t>Project 
Year 3</t>
  </si>
  <si>
    <t># of years to be funded</t>
  </si>
  <si>
    <t>Wood chips</t>
  </si>
  <si>
    <t>Basic NM</t>
  </si>
  <si>
    <t>Tree-planting, single row</t>
  </si>
  <si>
    <t>Plant density is 200 or more plantings/acre.</t>
  </si>
  <si>
    <t>Tree/Shrub Establishment (USDA NRCS CPS 612)</t>
  </si>
  <si>
    <t>Plant density is 150 or more plantings/acre.</t>
  </si>
  <si>
    <t>Prescribed Grazing         (CPS 528)</t>
  </si>
  <si>
    <t xml:space="preserve"> Grazing Management to Improve Rangeland or Non-Irrigated Pasture Condition</t>
  </si>
  <si>
    <t>Add Legume/ or Non-Legume Seasonal Cover Crop to Irrigated Cropland</t>
  </si>
  <si>
    <t>Add Non-Legume or Non-Legume Seasonal Cover Crop to Non-Irrigated Cropland</t>
  </si>
  <si>
    <t>Add Legume or Non-Legume Seasonal Cover Crop to Irrigated Cropland</t>
  </si>
  <si>
    <t>General purpose - multiple species</t>
  </si>
  <si>
    <r>
      <t xml:space="preserve">Residue and Tillage Management -
No-till 
</t>
    </r>
    <r>
      <rPr>
        <i/>
        <sz val="11"/>
        <color theme="1"/>
        <rFont val="Arial"/>
        <family val="2"/>
      </rPr>
      <t>(CPS 329)</t>
    </r>
  </si>
  <si>
    <t>Two or more species including  legume and non-legume species</t>
  </si>
  <si>
    <t>Width must be 15 feet or more</t>
  </si>
  <si>
    <t>Width must be 30 feet or more if legume is made up more than 50% of the stand</t>
  </si>
  <si>
    <t>Ground cover and root mass need to be sufficient to protect the soil from wind and water erosion</t>
  </si>
  <si>
    <t>Plant density: 16–18 plants per square foot</t>
  </si>
  <si>
    <t>Design the waterway to convey the peak runoff expected from the 10-year frequency, 24-hour duration storm</t>
  </si>
  <si>
    <t>Minimum width shall be increased to 2.5 times the stream width (based on the horizontal distance between bank-full elevations) or 35 feet for water bodies.</t>
  </si>
  <si>
    <t>Thickness of one inch or more</t>
  </si>
  <si>
    <t>Thickness of two inches or more</t>
  </si>
  <si>
    <t>No soil disturbance with no-till drill or hand planting</t>
  </si>
  <si>
    <t>Must include minimum of two different crops</t>
  </si>
  <si>
    <t>Increase crop diversity</t>
  </si>
  <si>
    <t>Seeding rates should be calculated on a pure live seed (PLS) basis.</t>
  </si>
  <si>
    <t>Manage stocking rates and grazing periods to adjust the intensity, frequency, timing, duration, and distribution of grazing and/or browsing to meet the planned objectives.</t>
  </si>
  <si>
    <r>
      <rPr>
        <b/>
        <sz val="12"/>
        <rFont val="Arial"/>
        <family val="2"/>
      </rPr>
      <t xml:space="preserve">Instructions: 
</t>
    </r>
    <r>
      <rPr>
        <sz val="12"/>
        <rFont val="Arial"/>
        <family val="2"/>
      </rPr>
      <t>Fill out the "yellow" shaded cells only. For each practice category you will be implementing, only enter in the "yellow" shaded cells. Note that the "Total Grant Request" amount will automatically calculate the amounts for each practice category. 
The "Total Grant Request" cannot exceed</t>
    </r>
    <r>
      <rPr>
        <sz val="12"/>
        <color rgb="FFFF0000"/>
        <rFont val="Arial"/>
        <family val="2"/>
      </rPr>
      <t xml:space="preserve"> </t>
    </r>
    <r>
      <rPr>
        <b/>
        <sz val="12"/>
        <color rgb="FFFF0000"/>
        <rFont val="Arial"/>
        <family val="2"/>
      </rPr>
      <t>$75,000</t>
    </r>
    <r>
      <rPr>
        <sz val="12"/>
        <color rgb="FFFF0000"/>
        <rFont val="Arial"/>
        <family val="2"/>
      </rPr>
      <t>.</t>
    </r>
    <r>
      <rPr>
        <sz val="12"/>
        <rFont val="Arial"/>
        <family val="2"/>
      </rPr>
      <t xml:space="preserve"> If the cost of practices exceed $75,000, the balance of the cost will need to be covered by the applicant in the Matching Amount section.
</t>
    </r>
    <r>
      <rPr>
        <i/>
        <sz val="12"/>
        <rFont val="Arial"/>
        <family val="2"/>
      </rPr>
      <t>*</t>
    </r>
    <r>
      <rPr>
        <i/>
        <u/>
        <sz val="12"/>
        <rFont val="Arial"/>
        <family val="2"/>
      </rPr>
      <t>Matching funds</t>
    </r>
    <r>
      <rPr>
        <i/>
        <sz val="12"/>
        <rFont val="Arial"/>
        <family val="2"/>
      </rPr>
      <t xml:space="preserve"> refers to a dollar amount committed to your project from a source other than the Healthy Soils Program.
An </t>
    </r>
    <r>
      <rPr>
        <i/>
        <u/>
        <sz val="12"/>
        <rFont val="Arial"/>
        <family val="2"/>
      </rPr>
      <t>in-kind contribution</t>
    </r>
    <r>
      <rPr>
        <i/>
        <sz val="12"/>
        <rFont val="Arial"/>
        <family val="2"/>
      </rPr>
      <t xml:space="preserve"> is the estimated dollar value of any time, property, or supplies donated and include costs associated with labor for any work involved with the implementation of the proposed project. 
</t>
    </r>
    <r>
      <rPr>
        <b/>
        <i/>
        <sz val="12"/>
        <rFont val="Arial"/>
        <family val="2"/>
      </rPr>
      <t xml:space="preserve">This document is a draft for public comment. </t>
    </r>
  </si>
  <si>
    <r>
      <t xml:space="preserve">Conservation Crop Rotation
</t>
    </r>
    <r>
      <rPr>
        <i/>
        <sz val="11"/>
        <color theme="1"/>
        <rFont val="Arial"/>
        <family val="2"/>
      </rPr>
      <t>(CPS 328)</t>
    </r>
  </si>
  <si>
    <t>Specialty Crops</t>
  </si>
  <si>
    <t>15% reduction in annual nitrogen application rate</t>
  </si>
  <si>
    <t xml:space="preserve">Minimal soil disturbance with bed preparation for planting </t>
  </si>
  <si>
    <t xml:space="preserve">Compost either purchased from a certified facility or on-farm produced </t>
  </si>
  <si>
    <t>Minimal width is 30 feet</t>
  </si>
  <si>
    <t>Application rate must be between 3 - 5 tons/acres</t>
  </si>
  <si>
    <t>Application rate must be between 6 - 8 tons/acres</t>
  </si>
  <si>
    <t>Application rate must be between 2 - 4 tons/acres</t>
  </si>
  <si>
    <t>Application rate must be between 6 - 8 dry tons/acres</t>
  </si>
  <si>
    <t>short ton</t>
  </si>
  <si>
    <t>Practice Implementation NOx emissions (lb-NO/ac)</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</si>
  <si>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</si>
  <si>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</si>
  <si>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</si>
  <si>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</si>
  <si>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</si>
  <si>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</si>
  <si>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</si>
  <si>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</si>
  <si>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</si>
  <si>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</si>
  <si>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</si>
  <si>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</si>
  <si>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</si>
  <si>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</si>
  <si>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</si>
  <si>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</si>
  <si>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</si>
  <si>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</si>
  <si>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</si>
  <si>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</si>
  <si>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</si>
  <si>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</si>
  <si>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</si>
  <si>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</si>
  <si>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</si>
  <si>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</si>
  <si>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</si>
  <si>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</si>
  <si>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</si>
  <si>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</si>
  <si>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</si>
  <si>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</si>
  <si>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</si>
  <si>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</si>
  <si>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</si>
  <si>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</si>
  <si>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</si>
  <si>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</si>
  <si>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</si>
  <si>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</si>
  <si>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</si>
  <si>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</si>
  <si>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</si>
  <si>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</si>
  <si>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</si>
  <si>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</si>
  <si>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</si>
  <si>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</si>
  <si>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</si>
  <si>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</si>
  <si>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</si>
  <si>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</si>
  <si>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</si>
  <si>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</si>
  <si>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</si>
  <si>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Venture</t>
  </si>
  <si>
    <t>Yolo</t>
  </si>
  <si>
    <t>Yuba</t>
  </si>
  <si>
    <t>Add Non-Legume Seasonal Cover Crop to Irrigated Cropland</t>
  </si>
  <si>
    <t>Add Legume Seasonal Cover Crop to Irrigated Cropland</t>
  </si>
  <si>
    <t>Intensive Till to Reduced Tilll on Irrigated Cropland</t>
  </si>
  <si>
    <r>
      <t xml:space="preserve">Compost (C/N </t>
    </r>
    <r>
      <rPr>
        <sz val="11"/>
        <color theme="1"/>
        <rFont val="Calibri"/>
        <family val="2"/>
      </rPr>
      <t>≤</t>
    </r>
    <r>
      <rPr>
        <sz val="11"/>
        <color theme="1"/>
        <rFont val="Calibri"/>
        <family val="2"/>
        <scheme val="minor"/>
      </rPr>
      <t xml:space="preserve"> 11) to Annual Crops</t>
    </r>
  </si>
  <si>
    <t>Compost (C/N &gt; 11) to Annual Crops</t>
  </si>
  <si>
    <r>
      <t xml:space="preserve">Compost (C/N </t>
    </r>
    <r>
      <rPr>
        <sz val="11"/>
        <color theme="1"/>
        <rFont val="Calibri"/>
        <family val="2"/>
      </rPr>
      <t>≤</t>
    </r>
    <r>
      <rPr>
        <sz val="11"/>
        <color theme="1"/>
        <rFont val="Calibri"/>
        <family val="2"/>
        <scheme val="minor"/>
      </rPr>
      <t xml:space="preserve"> 11) to Perennials, Orchards and Vineyards</t>
    </r>
  </si>
  <si>
    <t>Compost (C/N &gt; 11) to Perennials, Orchards and Vineyards</t>
  </si>
  <si>
    <t>Compost (C/N &gt; 11) to Grazed, Irrigated Pasture</t>
  </si>
  <si>
    <t>Compost (C/N &gt; 11) to Grazed Grassland</t>
  </si>
  <si>
    <t>Practice Implementation Ammonia Emissions (lb-NH3/ac)</t>
  </si>
  <si>
    <t>Practice Implementation Water Infiltration (acre-inches/acre)</t>
  </si>
  <si>
    <t>Practice Implementation PM2.5 lb-PM2.5/acre</t>
  </si>
  <si>
    <t>All Counties</t>
  </si>
  <si>
    <t>Counties</t>
  </si>
  <si>
    <t>NOx Emission Increase (lbs)</t>
  </si>
  <si>
    <t>NH3 Emission Increase (lbs)</t>
  </si>
  <si>
    <t>PM2.5 Emission Increase (lbs)</t>
  </si>
  <si>
    <t>County where project locates</t>
  </si>
  <si>
    <r>
      <t>Application Rate</t>
    </r>
    <r>
      <rPr>
        <sz val="11"/>
        <color theme="1"/>
        <rFont val="Arial"/>
        <family val="2"/>
      </rPr>
      <t xml:space="preserve"> 
(Tons/acre)</t>
    </r>
  </si>
  <si>
    <t>Replace 20% of Annual cropland to woody plants</t>
  </si>
  <si>
    <t>NOx Emission Increase (lbs/year)</t>
  </si>
  <si>
    <t>NH3 Emission Increase (lbs/year)</t>
  </si>
  <si>
    <t>PM2.5 Emission Increase (lbs/year)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</si>
</sst>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164" formatCode="&quot;$&quot;#,##0.00"/>
    <numFmt numFmtId="165" formatCode="0.000"/>
    <numFmt numFmtId="166" formatCode="&quot;$&quot;#,##0.00;[Red]&quot;$&quot;#,##0.00"/>
  </numFmts>
  <fonts count="31" x14ac:knownFonts="1">
    <font>
      <sz val="11"/>
      <color theme="1"/>
      <name val="Calibri"/>
      <family val="2"/>
      <scheme val="minor"/>
    </font>
    <font>
      <sz val="11"/>
      <color theme="1"/>
      <name val="Calibri"/>
      <family val="2"/>
      <scheme val="minor"/>
    </font>
    <font>
      <b/>
      <sz val="11"/>
      <color theme="1"/>
      <name val="Arial"/>
      <family val="2"/>
    </font>
    <font>
      <b/>
      <sz val="11"/>
      <name val="Arial"/>
      <family val="2"/>
    </font>
    <font>
      <sz val="11"/>
      <name val="Arial"/>
      <family val="2"/>
    </font>
    <font>
      <sz val="11"/>
      <color rgb="FFFF0000"/>
      <name val="Arial"/>
      <family val="2"/>
    </font>
    <font>
      <i/>
      <sz val="11"/>
      <name val="Arial"/>
      <family val="2"/>
    </font>
    <font>
      <sz val="11"/>
      <color theme="1"/>
      <name val="Arial"/>
      <family val="2"/>
    </font>
    <font>
      <b/>
      <sz val="12"/>
      <color theme="1"/>
      <name val="Arial"/>
      <family val="2"/>
    </font>
    <font>
      <sz val="12"/>
      <color theme="4"/>
      <name val="Arial"/>
      <family val="2"/>
    </font>
    <font>
      <sz val="11"/>
      <color rgb="FF7030A0"/>
      <name val="Arial"/>
      <family val="2"/>
    </font>
    <font>
      <b/>
      <sz val="14"/>
      <color theme="1"/>
      <name val="Arial"/>
      <family val="2"/>
    </font>
    <font>
      <i/>
      <sz val="11"/>
      <color theme="1"/>
      <name val="Arial"/>
      <family val="2"/>
    </font>
    <font>
      <sz val="11"/>
      <color theme="4"/>
      <name val="Arial"/>
      <family val="2"/>
    </font>
    <font>
      <b/>
      <sz val="11"/>
      <color theme="4"/>
      <name val="Arial"/>
      <family val="2"/>
    </font>
    <font>
      <sz val="14"/>
      <color rgb="FF7030A0"/>
      <name val="Arial"/>
      <family val="2"/>
    </font>
    <font>
      <b/>
      <sz val="12"/>
      <name val="Arial"/>
      <family val="2"/>
    </font>
    <font>
      <sz val="12"/>
      <name val="Arial"/>
      <family val="2"/>
    </font>
    <font>
      <sz val="12"/>
      <color rgb="FFFF0000"/>
      <name val="Arial"/>
      <family val="2"/>
    </font>
    <font>
      <b/>
      <sz val="12"/>
      <color rgb="FFFF0000"/>
      <name val="Arial"/>
      <family val="2"/>
    </font>
    <font>
      <i/>
      <sz val="12"/>
      <name val="Arial"/>
      <family val="2"/>
    </font>
    <font>
      <i/>
      <u/>
      <sz val="12"/>
      <name val="Arial"/>
      <family val="2"/>
    </font>
    <font>
      <b/>
      <sz val="11"/>
      <color rgb="FF00B050"/>
      <name val="Arial"/>
      <family val="2"/>
    </font>
    <font>
      <sz val="11"/>
      <color rgb="FF00B050"/>
      <name val="Arial"/>
      <family val="2"/>
    </font>
    <font>
      <b/>
      <sz val="14"/>
      <color rgb="FF00B050"/>
      <name val="Arial"/>
      <family val="2"/>
    </font>
    <font>
      <b/>
      <sz val="12"/>
      <color rgb="FF00B050"/>
      <name val="Arial"/>
      <family val="2"/>
    </font>
    <font>
      <b/>
      <sz val="11"/>
      <color rgb="FF9966FF"/>
      <name val="Arial"/>
      <family val="2"/>
    </font>
    <font>
      <sz val="11"/>
      <color rgb="FF000000"/>
      <name val="Arial"/>
      <family val="2"/>
    </font>
    <font>
      <b/>
      <i/>
      <sz val="12"/>
      <name val="Arial"/>
      <family val="2"/>
    </font>
    <font>
      <sz val="11"/>
      <color theme="1"/>
      <name val="Calibri"/>
      <family val="2"/>
    </font>
    <font>
      <b/>
      <i/>
      <sz val="12"/>
      <color theme="1"/>
      <name val="Arial"/>
      <family val="2"/>
    </font>
  </fonts>
  <fills count="15">
    <fill>
      <patternFill patternType="none"/>
    </fill>
    <fill>
      <patternFill patternType="gray125"/>
    </fill>
    <fill>
      <patternFill patternType="solid">
        <fgColor theme="7" tint="0.399975585192419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CCFF66"/>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CCFF"/>
        <bgColor indexed="64"/>
      </patternFill>
    </fill>
    <fill>
      <patternFill patternType="solid">
        <fgColor rgb="FFCC99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9" tint="-0.249977111117893"/>
      </right>
      <top style="medium">
        <color indexed="64"/>
      </top>
      <bottom style="thin">
        <color theme="9" tint="-0.249977111117893"/>
      </bottom>
      <diagonal/>
    </border>
    <border>
      <left style="thin">
        <color theme="9" tint="-0.249977111117893"/>
      </left>
      <right/>
      <top style="medium">
        <color indexed="64"/>
      </top>
      <bottom style="thin">
        <color theme="9" tint="-0.249977111117893"/>
      </bottom>
      <diagonal/>
    </border>
    <border>
      <left style="medium">
        <color indexed="64"/>
      </left>
      <right style="thin">
        <color theme="9" tint="-0.249977111117893"/>
      </right>
      <top style="thin">
        <color theme="9" tint="-0.249977111117893"/>
      </top>
      <bottom style="medium">
        <color indexed="64"/>
      </bottom>
      <diagonal/>
    </border>
    <border>
      <left style="thin">
        <color theme="9" tint="-0.249977111117893"/>
      </left>
      <right/>
      <top style="thin">
        <color theme="9" tint="-0.249977111117893"/>
      </top>
      <bottom style="medium">
        <color indexed="64"/>
      </bottom>
      <diagonal/>
    </border>
    <border>
      <left style="thin">
        <color indexed="64"/>
      </left>
      <right/>
      <top/>
      <bottom/>
      <diagonal/>
    </border>
    <border>
      <left style="thin">
        <color indexed="64"/>
      </left>
      <right/>
      <top style="thin">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top/>
      <bottom/>
      <diagonal/>
    </border>
    <border>
      <left/>
      <right style="thin">
        <color indexed="64"/>
      </right>
      <top/>
      <bottom/>
      <diagonal/>
    </border>
    <border>
      <left/>
      <right style="thick">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347">
    <xf numFmtId="0" fontId="0" fillId="0" borderId="0" xfId="0"/>
    <xf numFmtId="0" fontId="2" fillId="0" borderId="0" xfId="0" applyFont="1" applyBorder="1" applyAlignment="1" applyProtection="1">
      <alignment vertical="top" wrapText="1"/>
    </xf>
    <xf numFmtId="0" fontId="2" fillId="0" borderId="24" xfId="0" applyFont="1" applyBorder="1" applyAlignment="1" applyProtection="1">
      <alignment vertical="top"/>
    </xf>
    <xf numFmtId="0" fontId="2" fillId="0" borderId="0" xfId="0" applyFont="1" applyBorder="1" applyAlignment="1" applyProtection="1">
      <alignment vertical="top"/>
    </xf>
    <xf numFmtId="0" fontId="7" fillId="0" borderId="0" xfId="0" applyFont="1"/>
    <xf numFmtId="0" fontId="7" fillId="0" borderId="0" xfId="0" applyFont="1" applyFill="1" applyAlignment="1">
      <alignment wrapText="1"/>
    </xf>
    <xf numFmtId="0" fontId="7" fillId="0" borderId="0" xfId="0" applyFont="1" applyFill="1" applyAlignment="1">
      <alignment horizontal="center"/>
    </xf>
    <xf numFmtId="164" fontId="7" fillId="0" borderId="0" xfId="0" applyNumberFormat="1" applyFont="1" applyFill="1"/>
    <xf numFmtId="0" fontId="10" fillId="0" borderId="0" xfId="0" applyFont="1" applyFill="1"/>
    <xf numFmtId="0" fontId="2" fillId="4" borderId="1" xfId="0"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164" fontId="2" fillId="4" borderId="1" xfId="0" applyNumberFormat="1" applyFont="1" applyFill="1" applyBorder="1" applyAlignment="1" applyProtection="1">
      <alignment horizontal="center" vertical="center" wrapText="1"/>
    </xf>
    <xf numFmtId="164" fontId="2" fillId="4" borderId="17" xfId="0" applyNumberFormat="1" applyFont="1" applyFill="1" applyBorder="1" applyAlignment="1" applyProtection="1">
      <alignment horizontal="center" vertical="center" wrapText="1"/>
    </xf>
    <xf numFmtId="8" fontId="7" fillId="0" borderId="1" xfId="1"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8" fontId="7" fillId="0" borderId="1" xfId="1" applyNumberFormat="1" applyFont="1" applyFill="1" applyBorder="1" applyAlignment="1" applyProtection="1">
      <alignment horizontal="center" vertical="center" wrapText="1"/>
    </xf>
    <xf numFmtId="8" fontId="7"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7" fillId="0" borderId="0" xfId="0" applyFont="1" applyFill="1"/>
    <xf numFmtId="0" fontId="11" fillId="6" borderId="13" xfId="0" applyFont="1" applyFill="1" applyBorder="1" applyAlignment="1" applyProtection="1">
      <alignment vertical="center" wrapText="1"/>
    </xf>
    <xf numFmtId="0" fontId="15" fillId="6" borderId="13" xfId="0" applyFont="1" applyFill="1" applyBorder="1" applyAlignment="1" applyProtection="1">
      <alignment vertical="top"/>
    </xf>
    <xf numFmtId="0" fontId="2" fillId="5" borderId="3"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164" fontId="2" fillId="5" borderId="1" xfId="1" applyNumberFormat="1" applyFont="1" applyFill="1" applyBorder="1" applyAlignment="1" applyProtection="1">
      <alignment horizontal="center" vertical="center" wrapText="1"/>
    </xf>
    <xf numFmtId="164" fontId="2" fillId="5" borderId="1" xfId="0" applyNumberFormat="1" applyFont="1" applyFill="1" applyBorder="1" applyAlignment="1" applyProtection="1">
      <alignment horizontal="center" vertical="center" wrapText="1"/>
    </xf>
    <xf numFmtId="164" fontId="2" fillId="5" borderId="17"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164" fontId="2" fillId="6" borderId="10" xfId="0" applyNumberFormat="1" applyFont="1" applyFill="1" applyBorder="1" applyAlignment="1" applyProtection="1">
      <alignment horizontal="center" vertical="center"/>
    </xf>
    <xf numFmtId="164" fontId="2" fillId="6" borderId="12" xfId="0" applyNumberFormat="1" applyFont="1" applyFill="1" applyBorder="1" applyAlignment="1" applyProtection="1">
      <alignment horizontal="center" vertical="center"/>
    </xf>
    <xf numFmtId="8" fontId="4" fillId="6" borderId="5" xfId="0" applyNumberFormat="1" applyFont="1" applyFill="1" applyBorder="1" applyAlignment="1" applyProtection="1">
      <alignment horizontal="center" vertical="center"/>
    </xf>
    <xf numFmtId="8" fontId="4" fillId="6" borderId="25" xfId="0" applyNumberFormat="1" applyFont="1" applyFill="1" applyBorder="1" applyAlignment="1" applyProtection="1">
      <alignment horizontal="center" vertical="center"/>
    </xf>
    <xf numFmtId="8" fontId="4" fillId="6" borderId="6" xfId="0" applyNumberFormat="1" applyFont="1" applyFill="1" applyBorder="1" applyAlignment="1" applyProtection="1">
      <alignment horizontal="center" vertical="center"/>
    </xf>
    <xf numFmtId="0" fontId="2" fillId="13" borderId="3"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164" fontId="3" fillId="13" borderId="1" xfId="1" applyNumberFormat="1"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xf>
    <xf numFmtId="164" fontId="2" fillId="13" borderId="1" xfId="0" applyNumberFormat="1" applyFont="1" applyFill="1" applyBorder="1" applyAlignment="1" applyProtection="1">
      <alignment horizontal="center" vertical="center" wrapText="1"/>
    </xf>
    <xf numFmtId="164" fontId="2" fillId="13" borderId="17"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8" fontId="4" fillId="0" borderId="1" xfId="0" applyNumberFormat="1" applyFont="1" applyFill="1" applyBorder="1" applyAlignment="1" applyProtection="1">
      <alignment horizontal="center" vertical="center"/>
    </xf>
    <xf numFmtId="8" fontId="7" fillId="0" borderId="1" xfId="0" applyNumberFormat="1" applyFont="1" applyFill="1" applyBorder="1" applyAlignment="1" applyProtection="1">
      <alignment horizontal="center" vertical="center" wrapText="1"/>
    </xf>
    <xf numFmtId="164" fontId="2" fillId="14" borderId="12" xfId="0" applyNumberFormat="1" applyFont="1" applyFill="1" applyBorder="1" applyAlignment="1" applyProtection="1">
      <alignment horizontal="center" vertical="center"/>
    </xf>
    <xf numFmtId="8" fontId="4" fillId="14" borderId="5" xfId="0" applyNumberFormat="1" applyFont="1" applyFill="1" applyBorder="1" applyAlignment="1" applyProtection="1">
      <alignment horizontal="center" vertical="center"/>
    </xf>
    <xf numFmtId="8" fontId="4" fillId="14" borderId="25" xfId="0" applyNumberFormat="1" applyFont="1" applyFill="1" applyBorder="1" applyAlignment="1" applyProtection="1">
      <alignment horizontal="center" vertical="center"/>
    </xf>
    <xf numFmtId="8" fontId="4" fillId="14" borderId="6"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0" fontId="2" fillId="8" borderId="3"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164" fontId="3" fillId="8" borderId="1" xfId="1" applyNumberFormat="1" applyFont="1" applyFill="1" applyBorder="1" applyAlignment="1" applyProtection="1">
      <alignment horizontal="center" vertical="center" wrapText="1"/>
    </xf>
    <xf numFmtId="0" fontId="3" fillId="8" borderId="1" xfId="0" applyFont="1" applyFill="1" applyBorder="1" applyAlignment="1" applyProtection="1">
      <alignment horizontal="center" vertical="center"/>
    </xf>
    <xf numFmtId="164" fontId="2" fillId="8" borderId="1" xfId="0" applyNumberFormat="1" applyFont="1" applyFill="1" applyBorder="1" applyAlignment="1" applyProtection="1">
      <alignment horizontal="center" vertical="center" wrapText="1"/>
    </xf>
    <xf numFmtId="164" fontId="2" fillId="8" borderId="17" xfId="0" applyNumberFormat="1" applyFont="1" applyFill="1" applyBorder="1" applyAlignment="1" applyProtection="1">
      <alignment horizontal="center" vertical="center" wrapText="1"/>
    </xf>
    <xf numFmtId="164" fontId="2" fillId="11" borderId="10" xfId="0" applyNumberFormat="1" applyFont="1" applyFill="1" applyBorder="1" applyAlignment="1" applyProtection="1">
      <alignment horizontal="center" vertical="center"/>
    </xf>
    <xf numFmtId="164" fontId="2" fillId="11" borderId="12" xfId="0" applyNumberFormat="1" applyFont="1" applyFill="1" applyBorder="1" applyAlignment="1" applyProtection="1">
      <alignment horizontal="center" vertical="center"/>
    </xf>
    <xf numFmtId="8" fontId="4" fillId="11" borderId="5" xfId="0" applyNumberFormat="1" applyFont="1" applyFill="1" applyBorder="1" applyAlignment="1" applyProtection="1">
      <alignment horizontal="center" vertical="center"/>
    </xf>
    <xf numFmtId="8" fontId="4" fillId="11" borderId="25" xfId="0" applyNumberFormat="1" applyFont="1" applyFill="1" applyBorder="1" applyAlignment="1" applyProtection="1">
      <alignment horizontal="center" vertical="center"/>
    </xf>
    <xf numFmtId="8" fontId="4" fillId="11" borderId="6" xfId="0" applyNumberFormat="1" applyFont="1" applyFill="1" applyBorder="1" applyAlignment="1" applyProtection="1">
      <alignment horizontal="center" vertical="center"/>
    </xf>
    <xf numFmtId="0" fontId="11" fillId="10" borderId="13" xfId="0" applyFont="1" applyFill="1" applyBorder="1" applyAlignment="1" applyProtection="1">
      <alignment vertical="center" wrapText="1"/>
    </xf>
    <xf numFmtId="0" fontId="15" fillId="10" borderId="13" xfId="0" applyFont="1" applyFill="1" applyBorder="1" applyAlignment="1" applyProtection="1">
      <alignment vertical="top"/>
    </xf>
    <xf numFmtId="164" fontId="2" fillId="9" borderId="1" xfId="1" applyNumberFormat="1" applyFont="1" applyFill="1" applyBorder="1" applyAlignment="1" applyProtection="1">
      <alignment horizontal="center" vertical="center" wrapText="1"/>
    </xf>
    <xf numFmtId="164" fontId="2" fillId="9" borderId="1" xfId="0" applyNumberFormat="1" applyFont="1" applyFill="1" applyBorder="1" applyAlignment="1" applyProtection="1">
      <alignment horizontal="center" vertical="center" wrapText="1"/>
    </xf>
    <xf numFmtId="164" fontId="2" fillId="9" borderId="17" xfId="0" applyNumberFormat="1" applyFont="1" applyFill="1" applyBorder="1" applyAlignment="1" applyProtection="1">
      <alignment horizontal="center" vertical="center" wrapText="1"/>
    </xf>
    <xf numFmtId="164" fontId="7" fillId="0" borderId="1" xfId="0" applyNumberFormat="1" applyFont="1" applyFill="1" applyBorder="1" applyAlignment="1" applyProtection="1">
      <alignment horizontal="center" vertical="center"/>
    </xf>
    <xf numFmtId="7" fontId="13" fillId="3" borderId="4" xfId="1" applyNumberFormat="1" applyFont="1" applyFill="1" applyBorder="1" applyAlignment="1" applyProtection="1">
      <alignment horizontal="center" vertical="center"/>
    </xf>
    <xf numFmtId="164" fontId="2" fillId="10" borderId="10" xfId="0" applyNumberFormat="1" applyFont="1" applyFill="1" applyBorder="1" applyAlignment="1" applyProtection="1">
      <alignment horizontal="center" vertical="center"/>
    </xf>
    <xf numFmtId="164" fontId="2" fillId="10" borderId="12" xfId="0" applyNumberFormat="1" applyFont="1" applyFill="1" applyBorder="1" applyAlignment="1" applyProtection="1">
      <alignment horizontal="center" vertical="center"/>
    </xf>
    <xf numFmtId="7" fontId="7" fillId="10" borderId="5" xfId="1" applyNumberFormat="1" applyFont="1" applyFill="1" applyBorder="1" applyAlignment="1" applyProtection="1">
      <alignment horizontal="center" vertical="center"/>
    </xf>
    <xf numFmtId="7" fontId="7" fillId="10" borderId="25" xfId="1" applyNumberFormat="1" applyFont="1" applyFill="1" applyBorder="1" applyAlignment="1" applyProtection="1">
      <alignment horizontal="center" vertical="center"/>
    </xf>
    <xf numFmtId="7" fontId="7" fillId="10" borderId="6" xfId="1" applyNumberFormat="1" applyFont="1" applyFill="1" applyBorder="1" applyAlignment="1" applyProtection="1">
      <alignment horizontal="center" vertical="center"/>
    </xf>
    <xf numFmtId="0" fontId="2" fillId="0" borderId="0" xfId="2" applyFont="1" applyFill="1" applyBorder="1" applyAlignment="1" applyProtection="1">
      <alignment vertical="center" wrapText="1"/>
    </xf>
    <xf numFmtId="0" fontId="3" fillId="7" borderId="48" xfId="0" applyFont="1" applyFill="1" applyBorder="1" applyAlignment="1" applyProtection="1">
      <alignment horizontal="center" vertical="center" wrapText="1"/>
    </xf>
    <xf numFmtId="164" fontId="3" fillId="8" borderId="48" xfId="0" applyNumberFormat="1" applyFont="1" applyFill="1" applyBorder="1" applyAlignment="1" applyProtection="1">
      <alignment horizontal="center" vertical="center" wrapText="1"/>
    </xf>
    <xf numFmtId="8" fontId="7" fillId="7" borderId="1" xfId="0" applyNumberFormat="1" applyFont="1" applyFill="1" applyBorder="1" applyAlignment="1" applyProtection="1">
      <alignment horizontal="center" vertical="center"/>
    </xf>
    <xf numFmtId="7" fontId="7" fillId="0" borderId="1" xfId="0" applyNumberFormat="1" applyFont="1" applyFill="1" applyBorder="1" applyAlignment="1" applyProtection="1">
      <alignment horizontal="center" vertical="center"/>
    </xf>
    <xf numFmtId="7" fontId="7" fillId="7" borderId="1" xfId="0" applyNumberFormat="1" applyFont="1" applyFill="1" applyBorder="1" applyAlignment="1" applyProtection="1">
      <alignment horizontal="center" vertical="center"/>
    </xf>
    <xf numFmtId="0" fontId="2" fillId="0" borderId="0" xfId="2" applyFont="1" applyFill="1" applyBorder="1" applyAlignment="1" applyProtection="1">
      <alignment horizontal="left" vertical="center" wrapText="1"/>
    </xf>
    <xf numFmtId="0" fontId="7" fillId="0" borderId="0" xfId="0" applyFont="1" applyFill="1" applyBorder="1" applyAlignment="1">
      <alignment wrapText="1"/>
    </xf>
    <xf numFmtId="0" fontId="7" fillId="0" borderId="0" xfId="0" applyFont="1" applyFill="1" applyBorder="1" applyAlignment="1">
      <alignment horizontal="center"/>
    </xf>
    <xf numFmtId="0" fontId="7" fillId="0" borderId="0" xfId="0" applyFont="1" applyFill="1" applyAlignment="1" applyProtection="1">
      <alignment horizontal="center"/>
    </xf>
    <xf numFmtId="0" fontId="10" fillId="0" borderId="0" xfId="0" applyFont="1" applyFill="1" applyProtection="1"/>
    <xf numFmtId="0" fontId="7" fillId="0" borderId="0" xfId="0" applyFont="1" applyProtection="1"/>
    <xf numFmtId="164" fontId="7" fillId="0" borderId="0" xfId="0" applyNumberFormat="1" applyFont="1" applyFill="1" applyProtection="1"/>
    <xf numFmtId="8" fontId="22" fillId="0" borderId="0" xfId="0" applyNumberFormat="1" applyFont="1" applyBorder="1" applyAlignment="1" applyProtection="1">
      <alignment vertical="top"/>
    </xf>
    <xf numFmtId="8" fontId="23" fillId="0" borderId="0" xfId="0" applyNumberFormat="1" applyFont="1" applyFill="1" applyAlignment="1">
      <alignment horizontal="center"/>
    </xf>
    <xf numFmtId="8" fontId="22" fillId="4" borderId="1" xfId="0" applyNumberFormat="1" applyFont="1" applyFill="1" applyBorder="1" applyAlignment="1" applyProtection="1">
      <alignment horizontal="center" vertical="center" wrapText="1"/>
    </xf>
    <xf numFmtId="8" fontId="22" fillId="0" borderId="1" xfId="1" applyNumberFormat="1" applyFont="1" applyFill="1" applyBorder="1" applyAlignment="1" applyProtection="1">
      <alignment horizontal="center" vertical="center"/>
    </xf>
    <xf numFmtId="8" fontId="22" fillId="3" borderId="1" xfId="1" applyNumberFormat="1" applyFont="1" applyFill="1" applyBorder="1" applyAlignment="1" applyProtection="1">
      <alignment horizontal="center" vertical="center"/>
    </xf>
    <xf numFmtId="8" fontId="24" fillId="6" borderId="13" xfId="0" applyNumberFormat="1" applyFont="1" applyFill="1" applyBorder="1" applyAlignment="1" applyProtection="1">
      <alignment vertical="center" wrapText="1"/>
    </xf>
    <xf numFmtId="8" fontId="22" fillId="5" borderId="1" xfId="0" applyNumberFormat="1" applyFont="1" applyFill="1" applyBorder="1" applyAlignment="1" applyProtection="1">
      <alignment horizontal="center" vertical="center" wrapText="1"/>
    </xf>
    <xf numFmtId="8" fontId="24" fillId="14" borderId="13" xfId="0" applyNumberFormat="1" applyFont="1" applyFill="1" applyBorder="1" applyAlignment="1" applyProtection="1">
      <alignment vertical="center" wrapText="1"/>
    </xf>
    <xf numFmtId="8" fontId="22" fillId="13" borderId="1" xfId="0" applyNumberFormat="1" applyFont="1" applyFill="1" applyBorder="1" applyAlignment="1" applyProtection="1">
      <alignment horizontal="center" vertical="center" wrapText="1"/>
    </xf>
    <xf numFmtId="8" fontId="24" fillId="11" borderId="13" xfId="0" applyNumberFormat="1" applyFont="1" applyFill="1" applyBorder="1" applyAlignment="1" applyProtection="1">
      <alignment vertical="center" wrapText="1"/>
    </xf>
    <xf numFmtId="8" fontId="22" fillId="8" borderId="1" xfId="0" applyNumberFormat="1" applyFont="1" applyFill="1" applyBorder="1" applyAlignment="1" applyProtection="1">
      <alignment horizontal="center" vertical="center" wrapText="1"/>
    </xf>
    <xf numFmtId="8" fontId="24" fillId="10" borderId="13" xfId="0" applyNumberFormat="1" applyFont="1" applyFill="1" applyBorder="1" applyAlignment="1" applyProtection="1">
      <alignment vertical="center" wrapText="1"/>
    </xf>
    <xf numFmtId="8" fontId="22" fillId="9" borderId="1" xfId="0" applyNumberFormat="1" applyFont="1" applyFill="1" applyBorder="1" applyAlignment="1" applyProtection="1">
      <alignment horizontal="center" vertical="center" wrapText="1"/>
    </xf>
    <xf numFmtId="8" fontId="23" fillId="0" borderId="0" xfId="0" applyNumberFormat="1" applyFont="1" applyFill="1" applyAlignment="1" applyProtection="1">
      <alignment horizontal="center"/>
    </xf>
    <xf numFmtId="0" fontId="7" fillId="0" borderId="0" xfId="0" applyFont="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horizontal="center"/>
    </xf>
    <xf numFmtId="0" fontId="7" fillId="8" borderId="51" xfId="0" applyFont="1" applyFill="1" applyBorder="1" applyAlignment="1" applyProtection="1">
      <alignment horizontal="center" vertical="center"/>
    </xf>
    <xf numFmtId="0" fontId="7" fillId="8" borderId="52" xfId="0" applyFont="1" applyFill="1" applyBorder="1" applyAlignment="1" applyProtection="1">
      <alignment horizontal="center" vertical="center"/>
    </xf>
    <xf numFmtId="0" fontId="3" fillId="8" borderId="52" xfId="0" applyFont="1" applyFill="1" applyBorder="1" applyAlignment="1" applyProtection="1">
      <alignment horizontal="right" vertical="center"/>
    </xf>
    <xf numFmtId="8" fontId="22" fillId="8" borderId="54" xfId="0" applyNumberFormat="1" applyFont="1" applyFill="1" applyBorder="1" applyAlignment="1" applyProtection="1">
      <alignment horizontal="center" vertical="center"/>
    </xf>
    <xf numFmtId="8" fontId="23" fillId="6" borderId="5" xfId="0" applyNumberFormat="1" applyFont="1" applyFill="1" applyBorder="1" applyAlignment="1" applyProtection="1">
      <alignment horizontal="center" vertical="center"/>
    </xf>
    <xf numFmtId="8" fontId="22" fillId="14" borderId="5" xfId="0" applyNumberFormat="1" applyFont="1" applyFill="1" applyBorder="1" applyAlignment="1" applyProtection="1">
      <alignment horizontal="center" vertical="center"/>
    </xf>
    <xf numFmtId="8" fontId="22" fillId="11" borderId="5" xfId="0" applyNumberFormat="1" applyFont="1" applyFill="1" applyBorder="1" applyAlignment="1" applyProtection="1">
      <alignment horizontal="center" vertical="center"/>
    </xf>
    <xf numFmtId="8" fontId="22" fillId="10" borderId="5" xfId="0" applyNumberFormat="1" applyFont="1" applyFill="1" applyBorder="1" applyAlignment="1" applyProtection="1">
      <alignment horizontal="center" vertical="center"/>
    </xf>
    <xf numFmtId="0" fontId="26" fillId="4" borderId="1" xfId="0" applyFont="1" applyFill="1" applyBorder="1" applyAlignment="1" applyProtection="1">
      <alignment horizontal="center" vertical="center" wrapText="1"/>
    </xf>
    <xf numFmtId="164" fontId="26" fillId="4" borderId="1" xfId="0" applyNumberFormat="1"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wrapText="1"/>
      <protection locked="0"/>
    </xf>
    <xf numFmtId="7" fontId="13" fillId="4" borderId="17" xfId="1" applyNumberFormat="1" applyFont="1" applyFill="1" applyBorder="1" applyAlignment="1" applyProtection="1">
      <alignment horizontal="center" vertical="center"/>
      <protection locked="0"/>
    </xf>
    <xf numFmtId="8" fontId="13" fillId="4" borderId="17" xfId="1" applyNumberFormat="1" applyFont="1" applyFill="1" applyBorder="1" applyAlignment="1" applyProtection="1">
      <alignment horizontal="center" vertical="center"/>
      <protection locked="0"/>
    </xf>
    <xf numFmtId="166" fontId="13" fillId="4" borderId="4"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xf>
    <xf numFmtId="164" fontId="4" fillId="0" borderId="1" xfId="1" applyNumberFormat="1" applyFont="1" applyFill="1" applyBorder="1" applyAlignment="1" applyProtection="1">
      <alignment horizontal="center" vertical="center" wrapText="1"/>
    </xf>
    <xf numFmtId="0" fontId="8" fillId="0" borderId="0" xfId="0" applyFont="1" applyBorder="1" applyAlignment="1" applyProtection="1">
      <alignment horizontal="left" vertical="top" wrapText="1" indent="3"/>
    </xf>
    <xf numFmtId="0" fontId="0" fillId="0" borderId="55" xfId="0" applyBorder="1" applyAlignment="1">
      <alignment horizontal="center" vertical="center" wrapText="1"/>
    </xf>
    <xf numFmtId="0" fontId="0" fillId="0" borderId="0" xfId="0" applyAlignment="1">
      <alignment horizontal="center" vertical="center" wrapText="1"/>
    </xf>
    <xf numFmtId="2" fontId="0" fillId="0" borderId="24" xfId="0" applyNumberFormat="1" applyBorder="1" applyAlignment="1">
      <alignment horizontal="left" vertical="center" wrapText="1"/>
    </xf>
    <xf numFmtId="165" fontId="0" fillId="0" borderId="0" xfId="0" applyNumberFormat="1" applyBorder="1"/>
    <xf numFmtId="165" fontId="0" fillId="0" borderId="43" xfId="0" applyNumberFormat="1" applyBorder="1"/>
    <xf numFmtId="0" fontId="0" fillId="0" borderId="24" xfId="0" applyBorder="1" applyAlignment="1">
      <alignment horizontal="left" vertical="center" wrapText="1"/>
    </xf>
    <xf numFmtId="0" fontId="0" fillId="0" borderId="58" xfId="0" applyBorder="1" applyAlignment="1">
      <alignment horizontal="left" vertical="center" wrapText="1"/>
    </xf>
    <xf numFmtId="165" fontId="0" fillId="0" borderId="2" xfId="0" applyNumberFormat="1" applyBorder="1"/>
    <xf numFmtId="165" fontId="0" fillId="0" borderId="59" xfId="0" applyNumberFormat="1" applyBorder="1"/>
    <xf numFmtId="0" fontId="0" fillId="0" borderId="56" xfId="0" applyBorder="1" applyAlignment="1">
      <alignment horizontal="center" vertical="center" textRotation="90" wrapText="1"/>
    </xf>
    <xf numFmtId="0" fontId="0" fillId="0" borderId="57" xfId="0" applyBorder="1" applyAlignment="1">
      <alignment horizontal="center" vertical="center" textRotation="90" wrapText="1"/>
    </xf>
    <xf numFmtId="2" fontId="0" fillId="0" borderId="24" xfId="0" applyNumberFormat="1" applyBorder="1" applyAlignment="1">
      <alignment vertical="center" wrapText="1"/>
    </xf>
    <xf numFmtId="2" fontId="0" fillId="0" borderId="43" xfId="0" applyNumberFormat="1" applyBorder="1"/>
    <xf numFmtId="2" fontId="0" fillId="0" borderId="58" xfId="0" applyNumberFormat="1" applyBorder="1" applyAlignment="1">
      <alignment vertical="center" wrapText="1"/>
    </xf>
    <xf numFmtId="2" fontId="0" fillId="0" borderId="59" xfId="0" applyNumberFormat="1" applyBorder="1"/>
    <xf numFmtId="166" fontId="13" fillId="4" borderId="17" xfId="0" applyNumberFormat="1" applyFont="1" applyFill="1" applyBorder="1" applyAlignment="1" applyProtection="1">
      <alignment horizontal="center" vertical="center"/>
      <protection locked="0"/>
    </xf>
    <xf numFmtId="8" fontId="23" fillId="0" borderId="1" xfId="2" applyNumberFormat="1" applyFont="1" applyFill="1" applyBorder="1" applyAlignment="1" applyProtection="1">
      <alignment horizontal="center" vertical="center" wrapText="1"/>
    </xf>
    <xf numFmtId="8" fontId="22" fillId="8" borderId="48" xfId="2" applyNumberFormat="1" applyFont="1" applyFill="1" applyBorder="1" applyAlignment="1" applyProtection="1">
      <alignment horizontal="center" vertical="center" wrapText="1"/>
    </xf>
    <xf numFmtId="0" fontId="3" fillId="8" borderId="48" xfId="0" applyFont="1" applyFill="1" applyBorder="1" applyAlignment="1" applyProtection="1">
      <alignment horizontal="center" vertical="center" wrapText="1"/>
    </xf>
    <xf numFmtId="0" fontId="3" fillId="8" borderId="47" xfId="0" applyFont="1" applyFill="1" applyBorder="1" applyAlignment="1" applyProtection="1">
      <alignment horizontal="center" vertical="center" wrapText="1"/>
    </xf>
    <xf numFmtId="8" fontId="2" fillId="7" borderId="54" xfId="0" applyNumberFormat="1" applyFont="1" applyFill="1" applyBorder="1" applyAlignment="1" applyProtection="1">
      <alignment horizontal="center" vertical="center"/>
    </xf>
    <xf numFmtId="8" fontId="2" fillId="8" borderId="54" xfId="0" applyNumberFormat="1" applyFont="1" applyFill="1" applyBorder="1" applyAlignment="1" applyProtection="1">
      <alignment horizontal="center" vertical="center"/>
    </xf>
    <xf numFmtId="0" fontId="0" fillId="0" borderId="0" xfId="0" applyNumberFormat="1" applyBorder="1" applyAlignment="1">
      <alignment horizontal="left" vertical="center" wrapText="1"/>
    </xf>
    <xf numFmtId="0" fontId="0" fillId="0" borderId="56" xfId="0" applyNumberFormat="1" applyBorder="1" applyAlignment="1">
      <alignment horizontal="center" vertical="center" wrapText="1"/>
    </xf>
    <xf numFmtId="0" fontId="0" fillId="0" borderId="0" xfId="0" applyNumberFormat="1"/>
    <xf numFmtId="0" fontId="0" fillId="0" borderId="2" xfId="0" applyNumberFormat="1" applyBorder="1" applyAlignment="1">
      <alignment horizontal="left" vertical="center" wrapText="1"/>
    </xf>
    <xf numFmtId="0" fontId="0" fillId="0" borderId="0" xfId="0" applyNumberFormat="1" applyBorder="1" applyAlignment="1">
      <alignment vertical="center" wrapText="1"/>
    </xf>
    <xf numFmtId="0" fontId="0" fillId="0" borderId="2" xfId="0" applyNumberFormat="1" applyBorder="1" applyAlignment="1">
      <alignment vertical="center" wrapText="1"/>
    </xf>
    <xf numFmtId="0" fontId="0" fillId="0" borderId="56" xfId="0" applyNumberFormat="1" applyBorder="1" applyAlignment="1">
      <alignment horizontal="left" wrapText="1"/>
    </xf>
    <xf numFmtId="0" fontId="9" fillId="4" borderId="17" xfId="0" applyFont="1" applyFill="1" applyBorder="1" applyAlignment="1" applyProtection="1">
      <alignment vertical="center" wrapText="1"/>
      <protection locked="0"/>
    </xf>
    <xf numFmtId="2" fontId="7" fillId="0" borderId="18" xfId="0" applyNumberFormat="1" applyFont="1" applyFill="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2" fontId="2" fillId="8" borderId="60" xfId="0" applyNumberFormat="1" applyFont="1" applyFill="1" applyBorder="1" applyAlignment="1" applyProtection="1">
      <alignment horizontal="center" vertical="center"/>
    </xf>
    <xf numFmtId="2" fontId="2" fillId="8" borderId="54" xfId="0" applyNumberFormat="1" applyFont="1" applyFill="1" applyBorder="1" applyAlignment="1" applyProtection="1">
      <alignment horizontal="center" vertical="center"/>
    </xf>
    <xf numFmtId="166" fontId="13" fillId="4" borderId="58" xfId="0" applyNumberFormat="1" applyFont="1" applyFill="1" applyBorder="1" applyAlignment="1" applyProtection="1">
      <alignment horizontal="center" vertical="center"/>
      <protection locked="0"/>
    </xf>
    <xf numFmtId="0" fontId="2" fillId="4" borderId="69" xfId="0" applyFont="1" applyFill="1" applyBorder="1" applyAlignment="1" applyProtection="1">
      <alignment horizontal="center" vertical="center" wrapText="1"/>
    </xf>
    <xf numFmtId="8" fontId="23" fillId="2" borderId="54" xfId="0" applyNumberFormat="1" applyFont="1" applyFill="1" applyBorder="1" applyAlignment="1" applyProtection="1">
      <alignment horizontal="center" vertical="center"/>
    </xf>
    <xf numFmtId="8" fontId="7" fillId="2" borderId="54" xfId="0" applyNumberFormat="1" applyFont="1" applyFill="1" applyBorder="1" applyAlignment="1" applyProtection="1">
      <alignment horizontal="center" vertical="center"/>
    </xf>
    <xf numFmtId="8" fontId="7" fillId="2" borderId="77" xfId="0" applyNumberFormat="1" applyFont="1" applyFill="1" applyBorder="1" applyAlignment="1" applyProtection="1">
      <alignment horizontal="center" vertical="center"/>
    </xf>
    <xf numFmtId="2" fontId="7" fillId="2" borderId="54"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0" fontId="7" fillId="0" borderId="0" xfId="0" applyFont="1" applyProtection="1">
      <protection locked="0"/>
    </xf>
    <xf numFmtId="0" fontId="0" fillId="0" borderId="55" xfId="0"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7" fillId="0" borderId="49" xfId="2" applyFont="1" applyFill="1" applyBorder="1" applyAlignment="1" applyProtection="1">
      <alignment horizontal="left" vertical="center" wrapText="1"/>
    </xf>
    <xf numFmtId="0" fontId="7" fillId="0" borderId="16" xfId="2" applyFont="1" applyFill="1" applyBorder="1" applyAlignment="1" applyProtection="1">
      <alignment horizontal="left" vertical="center" wrapText="1"/>
    </xf>
    <xf numFmtId="0" fontId="7" fillId="0" borderId="18" xfId="2" applyFont="1" applyFill="1" applyBorder="1" applyAlignment="1" applyProtection="1">
      <alignment horizontal="left" vertical="center" wrapText="1"/>
    </xf>
    <xf numFmtId="0" fontId="11" fillId="10" borderId="7" xfId="0" applyFont="1" applyFill="1" applyBorder="1" applyAlignment="1" applyProtection="1">
      <alignment vertical="center" wrapText="1"/>
    </xf>
    <xf numFmtId="0" fontId="11" fillId="10" borderId="8" xfId="0" applyFont="1" applyFill="1" applyBorder="1" applyAlignment="1" applyProtection="1">
      <alignment vertical="center" wrapText="1"/>
    </xf>
    <xf numFmtId="0" fontId="11" fillId="10" borderId="14" xfId="0" applyFont="1" applyFill="1" applyBorder="1" applyAlignment="1" applyProtection="1">
      <alignment vertical="center" wrapText="1"/>
    </xf>
    <xf numFmtId="0" fontId="2" fillId="9" borderId="3"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64" fontId="2" fillId="10" borderId="11" xfId="0" applyNumberFormat="1" applyFont="1" applyFill="1" applyBorder="1" applyAlignment="1" applyProtection="1">
      <alignment horizontal="right" vertical="center"/>
    </xf>
    <xf numFmtId="164" fontId="2" fillId="10" borderId="5" xfId="0" applyNumberFormat="1" applyFont="1" applyFill="1" applyBorder="1" applyAlignment="1" applyProtection="1">
      <alignment horizontal="right" vertical="center"/>
    </xf>
    <xf numFmtId="0" fontId="2" fillId="8" borderId="45" xfId="2" applyFont="1" applyFill="1" applyBorder="1" applyAlignment="1" applyProtection="1">
      <alignment horizontal="center" vertical="center" wrapText="1"/>
    </xf>
    <xf numFmtId="0" fontId="2" fillId="8" borderId="46" xfId="2" applyFont="1" applyFill="1" applyBorder="1" applyAlignment="1" applyProtection="1">
      <alignment horizontal="center" vertical="center" wrapText="1"/>
    </xf>
    <xf numFmtId="0" fontId="2" fillId="8" borderId="47" xfId="2" applyFont="1" applyFill="1" applyBorder="1" applyAlignment="1" applyProtection="1">
      <alignment horizontal="center" vertical="center" wrapText="1"/>
    </xf>
    <xf numFmtId="0" fontId="7" fillId="0" borderId="32" xfId="2" applyFont="1" applyFill="1" applyBorder="1" applyAlignment="1" applyProtection="1">
      <alignment horizontal="left" vertical="top" wrapText="1" indent="7"/>
    </xf>
    <xf numFmtId="0" fontId="7" fillId="0" borderId="0" xfId="2" applyFont="1" applyFill="1" applyBorder="1" applyAlignment="1" applyProtection="1">
      <alignment horizontal="left" vertical="top" wrapText="1" indent="7"/>
    </xf>
    <xf numFmtId="0" fontId="7" fillId="0" borderId="53" xfId="2" applyFont="1" applyFill="1" applyBorder="1" applyAlignment="1" applyProtection="1">
      <alignment horizontal="left" vertical="center" wrapText="1"/>
    </xf>
    <xf numFmtId="0" fontId="7" fillId="0" borderId="39" xfId="2" applyFont="1" applyFill="1" applyBorder="1" applyAlignment="1" applyProtection="1">
      <alignment horizontal="left" vertical="center" wrapText="1"/>
    </xf>
    <xf numFmtId="164" fontId="3" fillId="11" borderId="11" xfId="0" applyNumberFormat="1" applyFont="1" applyFill="1" applyBorder="1" applyAlignment="1" applyProtection="1">
      <alignment horizontal="right" vertical="center"/>
    </xf>
    <xf numFmtId="164" fontId="3" fillId="11" borderId="5" xfId="0" applyNumberFormat="1" applyFont="1" applyFill="1" applyBorder="1" applyAlignment="1" applyProtection="1">
      <alignment horizontal="right" vertical="center"/>
    </xf>
    <xf numFmtId="0" fontId="2" fillId="0" borderId="3" xfId="0" applyFont="1" applyFill="1" applyBorder="1" applyAlignment="1" applyProtection="1">
      <alignment horizontal="center" vertical="center" wrapText="1"/>
    </xf>
    <xf numFmtId="164" fontId="3" fillId="14" borderId="11" xfId="0" applyNumberFormat="1" applyFont="1" applyFill="1" applyBorder="1" applyAlignment="1" applyProtection="1">
      <alignment horizontal="right" vertical="center"/>
    </xf>
    <xf numFmtId="164" fontId="3" fillId="14" borderId="5" xfId="0" applyNumberFormat="1" applyFont="1" applyFill="1" applyBorder="1" applyAlignment="1" applyProtection="1">
      <alignment horizontal="right" vertical="center"/>
    </xf>
    <xf numFmtId="0" fontId="11" fillId="11" borderId="7" xfId="0" applyFont="1" applyFill="1" applyBorder="1" applyAlignment="1" applyProtection="1">
      <alignment vertical="center" wrapText="1"/>
    </xf>
    <xf numFmtId="0" fontId="11" fillId="11" borderId="8" xfId="0" applyFont="1" applyFill="1" applyBorder="1" applyAlignment="1" applyProtection="1">
      <alignment vertical="center" wrapText="1"/>
    </xf>
    <xf numFmtId="0" fontId="11" fillId="11" borderId="14" xfId="0" applyFont="1" applyFill="1" applyBorder="1" applyAlignment="1" applyProtection="1">
      <alignment vertical="center" wrapText="1"/>
    </xf>
    <xf numFmtId="0" fontId="3" fillId="0" borderId="40"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41"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164" fontId="3" fillId="6" borderId="12" xfId="0" applyNumberFormat="1" applyFont="1" applyFill="1" applyBorder="1" applyAlignment="1" applyProtection="1">
      <alignment horizontal="right" vertical="center"/>
    </xf>
    <xf numFmtId="0" fontId="4" fillId="6" borderId="12" xfId="0" applyFont="1" applyFill="1" applyBorder="1" applyAlignment="1" applyProtection="1">
      <alignment horizontal="right" vertical="center"/>
    </xf>
    <xf numFmtId="0" fontId="11" fillId="14" borderId="7" xfId="0" applyFont="1" applyFill="1" applyBorder="1" applyAlignment="1" applyProtection="1">
      <alignment vertical="center" wrapText="1"/>
    </xf>
    <xf numFmtId="0" fontId="11" fillId="14" borderId="8" xfId="0" applyFont="1" applyFill="1" applyBorder="1" applyAlignment="1" applyProtection="1">
      <alignment vertical="center" wrapText="1"/>
    </xf>
    <xf numFmtId="0" fontId="11" fillId="14" borderId="14" xfId="0" applyFont="1" applyFill="1" applyBorder="1" applyAlignment="1" applyProtection="1">
      <alignment vertical="center" wrapText="1"/>
    </xf>
    <xf numFmtId="0" fontId="4" fillId="0" borderId="19"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4" fillId="0" borderId="41" xfId="0" applyFont="1" applyFill="1" applyBorder="1" applyAlignment="1" applyProtection="1">
      <alignment horizontal="center" vertical="center" wrapText="1"/>
    </xf>
    <xf numFmtId="0" fontId="2" fillId="0" borderId="69" xfId="0" applyFont="1" applyFill="1" applyBorder="1" applyAlignment="1" applyProtection="1">
      <alignment horizontal="center" vertical="center" wrapText="1"/>
    </xf>
    <xf numFmtId="164" fontId="2" fillId="2" borderId="76" xfId="0" applyNumberFormat="1" applyFont="1" applyFill="1" applyBorder="1" applyAlignment="1" applyProtection="1">
      <alignment horizontal="right" vertical="center"/>
    </xf>
    <xf numFmtId="164" fontId="2" fillId="2" borderId="60" xfId="0" applyNumberFormat="1" applyFont="1" applyFill="1" applyBorder="1" applyAlignment="1" applyProtection="1">
      <alignment horizontal="right" vertical="center"/>
    </xf>
    <xf numFmtId="0" fontId="11" fillId="6" borderId="7" xfId="0" applyFont="1" applyFill="1" applyBorder="1" applyAlignment="1" applyProtection="1">
      <alignment vertical="center" wrapText="1"/>
    </xf>
    <xf numFmtId="0" fontId="11" fillId="6" borderId="8" xfId="0" applyFont="1" applyFill="1" applyBorder="1" applyAlignment="1" applyProtection="1">
      <alignment vertical="center" wrapText="1"/>
    </xf>
    <xf numFmtId="0" fontId="11" fillId="6" borderId="14" xfId="0" applyFont="1" applyFill="1" applyBorder="1" applyAlignment="1" applyProtection="1">
      <alignment vertical="center" wrapText="1"/>
    </xf>
    <xf numFmtId="0" fontId="2" fillId="0" borderId="41"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9" fillId="0" borderId="64"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66" xfId="0" applyFont="1" applyFill="1" applyBorder="1" applyAlignment="1" applyProtection="1">
      <alignment horizontal="left" vertical="center" wrapText="1"/>
      <protection locked="0"/>
    </xf>
    <xf numFmtId="0" fontId="3"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3" fillId="0" borderId="70" xfId="0" applyFont="1" applyFill="1" applyBorder="1" applyAlignment="1" applyProtection="1">
      <alignment horizontal="center" wrapText="1"/>
    </xf>
    <xf numFmtId="0" fontId="3" fillId="0" borderId="53" xfId="0" applyFont="1" applyFill="1" applyBorder="1" applyAlignment="1" applyProtection="1">
      <alignment horizontal="center" wrapText="1"/>
    </xf>
    <xf numFmtId="0" fontId="3" fillId="0" borderId="70"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2" fillId="0" borderId="72" xfId="0" applyFont="1" applyFill="1" applyBorder="1" applyAlignment="1" applyProtection="1">
      <alignment horizontal="center" vertical="center" wrapText="1"/>
    </xf>
    <xf numFmtId="0" fontId="8" fillId="0" borderId="26" xfId="0" applyFont="1" applyBorder="1" applyAlignment="1" applyProtection="1">
      <alignment horizontal="left" vertical="top" wrapText="1" indent="3"/>
    </xf>
    <xf numFmtId="0" fontId="8" fillId="0" borderId="27" xfId="0" applyFont="1" applyBorder="1" applyAlignment="1" applyProtection="1">
      <alignment horizontal="left" vertical="top" wrapText="1" indent="3"/>
    </xf>
    <xf numFmtId="0" fontId="8" fillId="0" borderId="28" xfId="0" applyFont="1" applyBorder="1" applyAlignment="1" applyProtection="1">
      <alignment horizontal="left" vertical="top" wrapText="1" indent="3"/>
    </xf>
    <xf numFmtId="0" fontId="8" fillId="0" borderId="20" xfId="0" applyFont="1" applyFill="1" applyBorder="1" applyAlignment="1" applyProtection="1">
      <alignment horizontal="left" vertical="center" wrapText="1"/>
    </xf>
    <xf numFmtId="0" fontId="8" fillId="0" borderId="21"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8" fontId="8" fillId="0" borderId="25" xfId="1" applyNumberFormat="1" applyFont="1" applyFill="1" applyBorder="1" applyAlignment="1" applyProtection="1">
      <alignment horizontal="left" vertical="center"/>
    </xf>
    <xf numFmtId="8" fontId="8" fillId="0" borderId="62" xfId="1" applyNumberFormat="1" applyFont="1" applyFill="1" applyBorder="1" applyAlignment="1" applyProtection="1">
      <alignment horizontal="left" vertical="center"/>
    </xf>
    <xf numFmtId="8" fontId="8" fillId="0" borderId="63" xfId="1" applyNumberFormat="1" applyFont="1" applyFill="1" applyBorder="1" applyAlignment="1" applyProtection="1">
      <alignment horizontal="left" vertical="center"/>
    </xf>
    <xf numFmtId="0" fontId="2" fillId="4" borderId="5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2" fontId="13" fillId="0" borderId="39" xfId="0" applyNumberFormat="1" applyFont="1" applyFill="1" applyBorder="1" applyAlignment="1" applyProtection="1">
      <alignment horizontal="center" vertical="center"/>
    </xf>
    <xf numFmtId="2" fontId="13" fillId="3" borderId="71" xfId="0" applyNumberFormat="1" applyFont="1" applyFill="1" applyBorder="1" applyAlignment="1" applyProtection="1">
      <alignment horizontal="center" vertical="center"/>
    </xf>
    <xf numFmtId="2" fontId="13" fillId="3" borderId="1"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2" fontId="13" fillId="0" borderId="1"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2" fontId="13" fillId="0" borderId="50"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2" fillId="4" borderId="17" xfId="0" applyFont="1" applyFill="1" applyBorder="1" applyAlignment="1" applyProtection="1">
      <alignment horizontal="center" vertical="center" wrapText="1"/>
    </xf>
    <xf numFmtId="8" fontId="23" fillId="0" borderId="0" xfId="0" applyNumberFormat="1" applyFont="1" applyFill="1" applyBorder="1" applyAlignment="1" applyProtection="1">
      <alignment horizontal="center" vertical="center"/>
    </xf>
    <xf numFmtId="8" fontId="7" fillId="0" borderId="0" xfId="0" applyNumberFormat="1" applyFont="1" applyFill="1" applyBorder="1" applyAlignment="1" applyProtection="1">
      <alignment horizontal="center" vertical="center"/>
    </xf>
    <xf numFmtId="0" fontId="7" fillId="0" borderId="0" xfId="0" applyFont="1" applyFill="1" applyProtection="1"/>
    <xf numFmtId="0" fontId="7" fillId="6" borderId="15" xfId="0" applyFont="1" applyFill="1" applyBorder="1" applyProtection="1"/>
    <xf numFmtId="0" fontId="2" fillId="5" borderId="4" xfId="0" applyFont="1" applyFill="1" applyBorder="1" applyAlignment="1" applyProtection="1">
      <alignment horizontal="center" vertical="center" wrapText="1"/>
    </xf>
    <xf numFmtId="164" fontId="7" fillId="0" borderId="1" xfId="0" applyNumberFormat="1"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165" fontId="2" fillId="3" borderId="1"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xf>
    <xf numFmtId="8" fontId="4" fillId="0" borderId="9" xfId="0" applyNumberFormat="1" applyFont="1" applyFill="1" applyBorder="1" applyAlignment="1" applyProtection="1">
      <alignment horizontal="center" vertical="center"/>
    </xf>
    <xf numFmtId="0" fontId="11" fillId="14" borderId="13" xfId="0" applyFont="1" applyFill="1" applyBorder="1" applyAlignment="1" applyProtection="1">
      <alignment vertical="center" wrapText="1"/>
    </xf>
    <xf numFmtId="0" fontId="15" fillId="14" borderId="13" xfId="0" applyFont="1" applyFill="1" applyBorder="1" applyAlignment="1" applyProtection="1">
      <alignment vertical="top"/>
    </xf>
    <xf numFmtId="0" fontId="7" fillId="14" borderId="15" xfId="0" applyFont="1" applyFill="1" applyBorder="1" applyProtection="1"/>
    <xf numFmtId="0" fontId="2" fillId="13" borderId="4"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14" fillId="12" borderId="1" xfId="0" applyFont="1" applyFill="1" applyBorder="1" applyAlignment="1" applyProtection="1">
      <alignment horizontal="center" vertical="center"/>
    </xf>
    <xf numFmtId="165" fontId="3" fillId="3" borderId="1" xfId="0" applyNumberFormat="1" applyFont="1" applyFill="1" applyBorder="1" applyAlignment="1" applyProtection="1">
      <alignment horizontal="center" vertical="center"/>
    </xf>
    <xf numFmtId="165" fontId="3" fillId="12"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164" fontId="7" fillId="0" borderId="1" xfId="0" applyNumberFormat="1" applyFont="1" applyBorder="1" applyAlignment="1" applyProtection="1">
      <alignment horizontal="center" vertical="center" wrapText="1"/>
    </xf>
    <xf numFmtId="0" fontId="11" fillId="11" borderId="13" xfId="0" applyFont="1" applyFill="1" applyBorder="1" applyAlignment="1" applyProtection="1">
      <alignment vertical="center" wrapText="1"/>
    </xf>
    <xf numFmtId="0" fontId="15" fillId="11" borderId="13" xfId="0" applyFont="1" applyFill="1" applyBorder="1" applyAlignment="1" applyProtection="1">
      <alignment vertical="top"/>
    </xf>
    <xf numFmtId="0" fontId="7" fillId="11" borderId="15" xfId="0" applyFont="1" applyFill="1" applyBorder="1" applyProtection="1"/>
    <xf numFmtId="0" fontId="2" fillId="8" borderId="4"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xf>
    <xf numFmtId="164" fontId="7" fillId="0" borderId="1" xfId="0" applyNumberFormat="1" applyFont="1" applyBorder="1" applyAlignment="1" applyProtection="1">
      <alignment horizontal="center" vertical="center"/>
    </xf>
    <xf numFmtId="8" fontId="22" fillId="0" borderId="9" xfId="0" applyNumberFormat="1" applyFont="1" applyFill="1" applyBorder="1" applyAlignment="1" applyProtection="1">
      <alignment horizontal="center" vertical="center"/>
    </xf>
    <xf numFmtId="0" fontId="7" fillId="10" borderId="15" xfId="0" applyFont="1" applyFill="1" applyBorder="1" applyProtection="1"/>
    <xf numFmtId="0" fontId="2" fillId="9" borderId="4"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right" vertical="top"/>
    </xf>
    <xf numFmtId="8" fontId="25" fillId="0" borderId="0" xfId="0" applyNumberFormat="1" applyFont="1" applyFill="1" applyBorder="1" applyAlignment="1" applyProtection="1">
      <alignment horizontal="right" vertical="top"/>
    </xf>
    <xf numFmtId="7" fontId="7" fillId="0" borderId="0" xfId="1" applyNumberFormat="1" applyFont="1" applyFill="1" applyBorder="1" applyAlignment="1" applyProtection="1">
      <alignment vertical="top"/>
    </xf>
    <xf numFmtId="8" fontId="12" fillId="0" borderId="0" xfId="0" applyNumberFormat="1" applyFont="1" applyFill="1" applyBorder="1" applyAlignment="1" applyProtection="1">
      <alignment vertical="top" wrapText="1"/>
    </xf>
    <xf numFmtId="8" fontId="30" fillId="0" borderId="0" xfId="0" applyNumberFormat="1" applyFont="1" applyFill="1" applyBorder="1" applyAlignment="1" applyProtection="1">
      <alignment horizontal="right" vertical="top" wrapText="1"/>
    </xf>
    <xf numFmtId="0" fontId="7" fillId="0" borderId="0" xfId="0" applyFont="1" applyFill="1" applyAlignment="1" applyProtection="1">
      <alignment wrapText="1"/>
      <protection locked="0"/>
    </xf>
    <xf numFmtId="0" fontId="7" fillId="0" borderId="0" xfId="0" applyFont="1" applyFill="1" applyAlignment="1" applyProtection="1">
      <alignment horizontal="center"/>
      <protection locked="0"/>
    </xf>
    <xf numFmtId="164" fontId="7" fillId="0" borderId="0" xfId="0" applyNumberFormat="1" applyFont="1" applyFill="1" applyProtection="1">
      <protection locked="0"/>
    </xf>
    <xf numFmtId="8" fontId="23" fillId="0" borderId="0" xfId="0" applyNumberFormat="1" applyFont="1" applyFill="1" applyAlignment="1" applyProtection="1">
      <alignment horizontal="center"/>
      <protection locked="0"/>
    </xf>
    <xf numFmtId="0" fontId="10" fillId="0" borderId="0" xfId="0" applyFont="1" applyFill="1" applyProtection="1">
      <protection locked="0"/>
    </xf>
    <xf numFmtId="0" fontId="11" fillId="2" borderId="45" xfId="0" applyFont="1" applyFill="1" applyBorder="1" applyAlignment="1" applyProtection="1">
      <alignment horizontal="left" vertical="center" wrapText="1"/>
      <protection locked="0"/>
    </xf>
    <xf numFmtId="0" fontId="11" fillId="2" borderId="46" xfId="0" applyFont="1" applyFill="1" applyBorder="1" applyAlignment="1" applyProtection="1">
      <alignment horizontal="left" vertical="center" wrapText="1"/>
      <protection locked="0"/>
    </xf>
    <xf numFmtId="0" fontId="11" fillId="2" borderId="67" xfId="0" applyFont="1" applyFill="1" applyBorder="1" applyAlignment="1" applyProtection="1">
      <alignment horizontal="left" vertical="center" wrapText="1"/>
      <protection locked="0"/>
    </xf>
    <xf numFmtId="0" fontId="2" fillId="2" borderId="49"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68"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3" fillId="2" borderId="73" xfId="0" applyFont="1" applyFill="1" applyBorder="1" applyAlignment="1" applyProtection="1">
      <alignment horizontal="left" vertical="center" wrapText="1"/>
      <protection locked="0"/>
    </xf>
    <xf numFmtId="0" fontId="3" fillId="2" borderId="65" xfId="0" applyFont="1" applyFill="1" applyBorder="1" applyAlignment="1" applyProtection="1">
      <alignment horizontal="left" vertical="center" wrapText="1"/>
      <protection locked="0"/>
    </xf>
    <xf numFmtId="0" fontId="3" fillId="2" borderId="74" xfId="0" applyFont="1" applyFill="1" applyBorder="1" applyAlignment="1" applyProtection="1">
      <alignment horizontal="left" vertical="center" wrapText="1"/>
      <protection locked="0"/>
    </xf>
    <xf numFmtId="164" fontId="2" fillId="2" borderId="75" xfId="0" applyNumberFormat="1" applyFont="1" applyFill="1" applyBorder="1" applyAlignment="1" applyProtection="1">
      <alignment horizontal="center" vertical="center"/>
      <protection locked="0"/>
    </xf>
    <xf numFmtId="164" fontId="2" fillId="2" borderId="76"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locked="0"/>
    </xf>
    <xf numFmtId="0" fontId="7" fillId="0" borderId="0" xfId="0" applyFont="1" applyFill="1" applyProtection="1">
      <protection locked="0"/>
    </xf>
    <xf numFmtId="164" fontId="2" fillId="0" borderId="9" xfId="0" applyNumberFormat="1" applyFont="1" applyFill="1" applyBorder="1" applyAlignment="1" applyProtection="1">
      <alignment horizontal="center" vertical="center"/>
      <protection locked="0"/>
    </xf>
    <xf numFmtId="164" fontId="3"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8" fontId="23" fillId="0" borderId="9" xfId="0" applyNumberFormat="1" applyFont="1" applyFill="1" applyBorder="1" applyAlignment="1" applyProtection="1">
      <alignment horizontal="center" vertical="center"/>
      <protection locked="0"/>
    </xf>
    <xf numFmtId="8" fontId="4" fillId="0" borderId="9" xfId="0" applyNumberFormat="1" applyFont="1" applyFill="1" applyBorder="1" applyAlignment="1" applyProtection="1">
      <alignment horizontal="center" vertical="center"/>
      <protection locked="0"/>
    </xf>
    <xf numFmtId="165" fontId="3" fillId="4" borderId="1" xfId="0" applyNumberFormat="1" applyFont="1" applyFill="1" applyBorder="1" applyAlignment="1" applyProtection="1">
      <alignment horizontal="center" vertical="center"/>
      <protection locked="0"/>
    </xf>
    <xf numFmtId="164" fontId="2" fillId="14" borderId="10" xfId="0" applyNumberFormat="1" applyFont="1" applyFill="1" applyBorder="1" applyAlignment="1" applyProtection="1">
      <alignment horizontal="center" vertical="center"/>
      <protection locked="0"/>
    </xf>
    <xf numFmtId="164" fontId="2" fillId="14" borderId="12" xfId="0" applyNumberFormat="1" applyFont="1" applyFill="1" applyBorder="1" applyAlignment="1" applyProtection="1">
      <alignment horizontal="center" vertical="center"/>
      <protection locked="0"/>
    </xf>
    <xf numFmtId="164" fontId="2" fillId="0" borderId="42" xfId="0" applyNumberFormat="1" applyFont="1" applyFill="1" applyBorder="1" applyAlignment="1" applyProtection="1">
      <alignment horizontal="center" vertical="center"/>
      <protection locked="0"/>
    </xf>
    <xf numFmtId="164" fontId="3" fillId="0" borderId="43" xfId="0" applyNumberFormat="1" applyFont="1" applyFill="1" applyBorder="1" applyAlignment="1" applyProtection="1">
      <alignment horizontal="right" vertical="center"/>
      <protection locked="0"/>
    </xf>
    <xf numFmtId="164" fontId="3" fillId="0" borderId="41" xfId="0" applyNumberFormat="1" applyFont="1" applyFill="1" applyBorder="1" applyAlignment="1" applyProtection="1">
      <alignment horizontal="right" vertical="center"/>
      <protection locked="0"/>
    </xf>
    <xf numFmtId="164" fontId="3" fillId="0" borderId="24" xfId="0" applyNumberFormat="1" applyFont="1" applyFill="1" applyBorder="1" applyAlignment="1" applyProtection="1">
      <alignment horizontal="right" vertical="center"/>
      <protection locked="0"/>
    </xf>
    <xf numFmtId="8" fontId="22" fillId="0" borderId="0" xfId="0" applyNumberFormat="1" applyFont="1" applyFill="1" applyBorder="1" applyAlignment="1" applyProtection="1">
      <alignment horizontal="right" vertical="center"/>
      <protection locked="0"/>
    </xf>
    <xf numFmtId="8" fontId="4" fillId="0" borderId="0" xfId="0" applyNumberFormat="1" applyFont="1" applyFill="1" applyBorder="1" applyAlignment="1" applyProtection="1">
      <alignment horizontal="center" vertical="center"/>
      <protection locked="0"/>
    </xf>
    <xf numFmtId="8" fontId="4" fillId="0" borderId="44"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right" vertical="top"/>
      <protection locked="0"/>
    </xf>
    <xf numFmtId="8" fontId="25" fillId="0" borderId="0" xfId="0" applyNumberFormat="1" applyFont="1" applyFill="1" applyBorder="1" applyAlignment="1" applyProtection="1">
      <alignment horizontal="right" vertical="top"/>
      <protection locked="0"/>
    </xf>
    <xf numFmtId="7" fontId="7" fillId="0" borderId="0" xfId="1" applyNumberFormat="1" applyFont="1" applyFill="1" applyBorder="1" applyAlignment="1" applyProtection="1">
      <alignment vertical="top"/>
      <protection locked="0"/>
    </xf>
    <xf numFmtId="0" fontId="2" fillId="0" borderId="29" xfId="2" applyFont="1" applyFill="1" applyBorder="1" applyAlignment="1" applyProtection="1">
      <alignment horizontal="center" wrapText="1"/>
      <protection locked="0"/>
    </xf>
    <xf numFmtId="0" fontId="7" fillId="0" borderId="30" xfId="0" applyFont="1" applyFill="1" applyBorder="1" applyAlignment="1" applyProtection="1">
      <alignment wrapText="1"/>
      <protection locked="0"/>
    </xf>
    <xf numFmtId="0" fontId="2" fillId="0" borderId="30" xfId="2"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7" fillId="0" borderId="31" xfId="0" applyFont="1" applyFill="1" applyBorder="1" applyAlignment="1" applyProtection="1">
      <alignment horizontal="center"/>
      <protection locked="0"/>
    </xf>
    <xf numFmtId="0" fontId="2" fillId="0" borderId="0" xfId="2" applyFont="1" applyFill="1" applyBorder="1" applyAlignment="1" applyProtection="1">
      <alignment vertical="center" wrapText="1"/>
      <protection locked="0"/>
    </xf>
    <xf numFmtId="0" fontId="7" fillId="0" borderId="33" xfId="2" applyFont="1" applyFill="1" applyBorder="1" applyAlignment="1" applyProtection="1">
      <alignment vertical="top" wrapText="1"/>
      <protection locked="0"/>
    </xf>
    <xf numFmtId="0" fontId="7" fillId="0" borderId="0" xfId="2" applyFont="1" applyFill="1" applyBorder="1" applyAlignment="1" applyProtection="1">
      <alignment vertical="center" wrapText="1"/>
      <protection locked="0"/>
    </xf>
    <xf numFmtId="0" fontId="7" fillId="0" borderId="34" xfId="2" applyFont="1" applyFill="1" applyBorder="1" applyAlignment="1" applyProtection="1">
      <alignment horizontal="left" vertical="top" wrapText="1" indent="7"/>
      <protection locked="0"/>
    </xf>
    <xf numFmtId="0" fontId="7" fillId="0" borderId="35" xfId="2" applyFont="1" applyFill="1" applyBorder="1" applyAlignment="1" applyProtection="1">
      <alignment horizontal="left" vertical="top" wrapText="1" indent="7"/>
      <protection locked="0"/>
    </xf>
    <xf numFmtId="0" fontId="7" fillId="0" borderId="36" xfId="2" applyFont="1" applyFill="1" applyBorder="1" applyAlignment="1" applyProtection="1">
      <alignment vertical="top" wrapText="1"/>
      <protection locked="0"/>
    </xf>
    <xf numFmtId="0" fontId="7" fillId="0" borderId="0" xfId="2" applyFont="1" applyFill="1" applyBorder="1" applyAlignment="1" applyProtection="1">
      <alignment vertical="top" wrapText="1"/>
      <protection locked="0"/>
    </xf>
    <xf numFmtId="164" fontId="7" fillId="0" borderId="0" xfId="0" applyNumberFormat="1" applyFont="1" applyFill="1" applyBorder="1" applyProtection="1">
      <protection locked="0"/>
    </xf>
    <xf numFmtId="8" fontId="12" fillId="0" borderId="0" xfId="0" applyNumberFormat="1" applyFont="1" applyFill="1" applyBorder="1" applyAlignment="1" applyProtection="1">
      <alignment vertical="top" wrapText="1"/>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CCFF66"/>
      <color rgb="FF9966FF"/>
      <color rgb="FFFFCCFF"/>
      <color rgb="FFCC99FF"/>
      <color rgb="FFCCCCFF"/>
      <color rgb="FFFFCC66"/>
      <color rgb="FFA6D86E"/>
      <color rgb="FFF6B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148</xdr:row>
          <xdr:rowOff>723900</xdr:rowOff>
        </xdr:from>
        <xdr:to>
          <xdr:col>1</xdr:col>
          <xdr:colOff>581025</xdr:colOff>
          <xdr:row>149</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158"/>
  <sheetViews>
    <sheetView tabSelected="1" topLeftCell="B1" zoomScale="70" zoomScaleNormal="70" zoomScaleSheetLayoutView="80" workbookViewId="0">
      <selection activeCell="D166" sqref="D166"/>
    </sheetView>
  </sheetViews>
  <sheetFormatPr defaultColWidth="9.140625" defaultRowHeight="14.25" x14ac:dyDescent="0.2"/>
  <cols>
    <col min="1" max="1" width="1.7109375" style="4" customWidth="1"/>
    <col min="2" max="2" width="26.7109375" style="5" customWidth="1"/>
    <col min="3" max="3" width="33.7109375" style="5" customWidth="1"/>
    <col min="4" max="5" width="30.7109375" style="5" customWidth="1"/>
    <col min="6" max="6" width="13.28515625" style="6" bestFit="1" customWidth="1"/>
    <col min="7" max="7" width="15.28515625" style="7" customWidth="1"/>
    <col min="8" max="8" width="12.7109375" style="6" customWidth="1"/>
    <col min="9" max="9" width="15.7109375" style="6" customWidth="1"/>
    <col min="10" max="10" width="14.140625" style="6" customWidth="1"/>
    <col min="11" max="13" width="14.7109375" style="87" customWidth="1"/>
    <col min="14" max="14" width="20.85546875" style="6" bestFit="1" customWidth="1"/>
    <col min="15" max="15" width="18.7109375" style="8" customWidth="1"/>
    <col min="16" max="16" width="21.42578125" style="4" bestFit="1" customWidth="1"/>
    <col min="17" max="19" width="21.42578125" style="4" customWidth="1"/>
    <col min="20" max="20" width="1.7109375" style="4" customWidth="1"/>
    <col min="21" max="16384" width="9.140625" style="4"/>
  </cols>
  <sheetData>
    <row r="1" spans="2:22" ht="127.5" customHeight="1" thickTop="1" thickBot="1" x14ac:dyDescent="0.25">
      <c r="B1" s="235" t="s">
        <v>192</v>
      </c>
      <c r="C1" s="236"/>
      <c r="D1" s="236"/>
      <c r="E1" s="236"/>
      <c r="F1" s="236"/>
      <c r="G1" s="236"/>
      <c r="H1" s="236"/>
      <c r="I1" s="236"/>
      <c r="J1" s="236"/>
      <c r="K1" s="236"/>
      <c r="L1" s="236"/>
      <c r="M1" s="236"/>
      <c r="N1" s="236"/>
      <c r="O1" s="236"/>
      <c r="P1" s="237"/>
      <c r="Q1" s="120"/>
      <c r="R1" s="120"/>
      <c r="S1" s="120"/>
      <c r="T1" s="1"/>
      <c r="U1" s="1"/>
      <c r="V1" s="1"/>
    </row>
    <row r="2" spans="2:22" ht="16.5" thickTop="1" thickBot="1" x14ac:dyDescent="0.25">
      <c r="B2" s="2"/>
      <c r="C2" s="3"/>
      <c r="D2" s="3"/>
      <c r="E2" s="3"/>
      <c r="F2" s="3"/>
      <c r="G2" s="3"/>
      <c r="H2" s="3"/>
      <c r="I2" s="3"/>
      <c r="J2" s="3"/>
      <c r="K2" s="86"/>
      <c r="L2" s="86"/>
      <c r="M2" s="86"/>
      <c r="N2" s="3"/>
      <c r="O2" s="3"/>
      <c r="P2" s="3"/>
      <c r="Q2" s="3"/>
      <c r="R2" s="3"/>
      <c r="S2" s="3"/>
      <c r="T2" s="1"/>
      <c r="U2" s="1"/>
      <c r="V2" s="1"/>
    </row>
    <row r="3" spans="2:22" ht="24.95" customHeight="1" thickTop="1" thickBot="1" x14ac:dyDescent="0.25">
      <c r="B3" s="238" t="s">
        <v>136</v>
      </c>
      <c r="C3" s="239"/>
      <c r="D3" s="240"/>
      <c r="E3" s="241"/>
      <c r="F3" s="241"/>
      <c r="G3" s="241"/>
      <c r="H3" s="241"/>
      <c r="I3" s="241"/>
      <c r="J3" s="241"/>
      <c r="K3" s="241"/>
      <c r="L3" s="241"/>
      <c r="M3" s="241"/>
      <c r="N3" s="241"/>
      <c r="O3" s="241"/>
      <c r="P3" s="242"/>
      <c r="Q3" s="162"/>
      <c r="R3" s="162"/>
      <c r="S3" s="162"/>
    </row>
    <row r="4" spans="2:22" ht="24.95" customHeight="1" x14ac:dyDescent="0.2">
      <c r="B4" s="238" t="s">
        <v>280</v>
      </c>
      <c r="C4" s="239"/>
      <c r="D4" s="150" t="s">
        <v>205</v>
      </c>
      <c r="E4" s="224"/>
      <c r="F4" s="225"/>
      <c r="G4" s="225"/>
      <c r="H4" s="225"/>
      <c r="I4" s="225"/>
      <c r="J4" s="225"/>
      <c r="K4" s="225"/>
      <c r="L4" s="225"/>
      <c r="M4" s="225"/>
      <c r="N4" s="225"/>
      <c r="O4" s="225"/>
      <c r="P4" s="226"/>
      <c r="Q4" s="162"/>
      <c r="R4" s="162"/>
      <c r="S4" s="162"/>
    </row>
    <row r="5" spans="2:22" ht="24.95" customHeight="1" thickBot="1" x14ac:dyDescent="0.25">
      <c r="B5" s="243" t="s">
        <v>75</v>
      </c>
      <c r="C5" s="244"/>
      <c r="D5" s="245">
        <f>N155</f>
        <v>0</v>
      </c>
      <c r="E5" s="246"/>
      <c r="F5" s="246"/>
      <c r="G5" s="246"/>
      <c r="H5" s="246"/>
      <c r="I5" s="246"/>
      <c r="J5" s="246"/>
      <c r="K5" s="246"/>
      <c r="L5" s="246"/>
      <c r="M5" s="246"/>
      <c r="N5" s="246"/>
      <c r="O5" s="246"/>
      <c r="P5" s="247"/>
      <c r="Q5" s="162"/>
      <c r="R5" s="162"/>
      <c r="S5" s="162"/>
    </row>
    <row r="6" spans="2:22" ht="15" thickBot="1" x14ac:dyDescent="0.25">
      <c r="B6" s="295"/>
      <c r="C6" s="295"/>
      <c r="D6" s="295"/>
      <c r="E6" s="295"/>
      <c r="F6" s="296"/>
      <c r="G6" s="297"/>
      <c r="H6" s="296"/>
      <c r="I6" s="296"/>
      <c r="J6" s="296"/>
      <c r="K6" s="298"/>
      <c r="L6" s="298"/>
      <c r="M6" s="298"/>
      <c r="N6" s="296"/>
      <c r="O6" s="299"/>
      <c r="P6" s="162"/>
      <c r="Q6" s="162"/>
      <c r="R6" s="162"/>
      <c r="S6" s="162"/>
    </row>
    <row r="7" spans="2:22" ht="24.95" customHeight="1" x14ac:dyDescent="0.2">
      <c r="B7" s="300" t="s">
        <v>0</v>
      </c>
      <c r="C7" s="301"/>
      <c r="D7" s="301"/>
      <c r="E7" s="301"/>
      <c r="F7" s="301"/>
      <c r="G7" s="301"/>
      <c r="H7" s="301"/>
      <c r="I7" s="301"/>
      <c r="J7" s="301"/>
      <c r="K7" s="301"/>
      <c r="L7" s="301"/>
      <c r="M7" s="301"/>
      <c r="N7" s="301"/>
      <c r="O7" s="301"/>
      <c r="P7" s="301"/>
      <c r="Q7" s="301"/>
      <c r="R7" s="301"/>
      <c r="S7" s="302"/>
    </row>
    <row r="8" spans="2:22" ht="20.100000000000001" customHeight="1" x14ac:dyDescent="0.2">
      <c r="B8" s="303" t="s">
        <v>69</v>
      </c>
      <c r="C8" s="304"/>
      <c r="D8" s="304"/>
      <c r="E8" s="304"/>
      <c r="F8" s="304"/>
      <c r="G8" s="304"/>
      <c r="H8" s="304"/>
      <c r="I8" s="304"/>
      <c r="J8" s="304"/>
      <c r="K8" s="304"/>
      <c r="L8" s="304"/>
      <c r="M8" s="304"/>
      <c r="N8" s="304"/>
      <c r="O8" s="304"/>
      <c r="P8" s="304"/>
      <c r="Q8" s="304"/>
      <c r="R8" s="304"/>
      <c r="S8" s="305"/>
    </row>
    <row r="9" spans="2:22" ht="47.25" customHeight="1" x14ac:dyDescent="0.2">
      <c r="B9" s="156" t="s">
        <v>1</v>
      </c>
      <c r="C9" s="9" t="s">
        <v>2</v>
      </c>
      <c r="D9" s="9" t="s">
        <v>3</v>
      </c>
      <c r="E9" s="9" t="s">
        <v>4</v>
      </c>
      <c r="F9" s="9" t="s">
        <v>5</v>
      </c>
      <c r="G9" s="10" t="s">
        <v>6</v>
      </c>
      <c r="H9" s="11" t="s">
        <v>7</v>
      </c>
      <c r="I9" s="11" t="s">
        <v>71</v>
      </c>
      <c r="J9" s="111" t="s">
        <v>164</v>
      </c>
      <c r="K9" s="88" t="s">
        <v>161</v>
      </c>
      <c r="L9" s="88" t="s">
        <v>162</v>
      </c>
      <c r="M9" s="88" t="s">
        <v>163</v>
      </c>
      <c r="N9" s="112" t="s">
        <v>80</v>
      </c>
      <c r="O9" s="13" t="s">
        <v>8</v>
      </c>
      <c r="P9" s="9" t="s">
        <v>77</v>
      </c>
      <c r="Q9" s="9" t="s">
        <v>283</v>
      </c>
      <c r="R9" s="9" t="s">
        <v>284</v>
      </c>
      <c r="S9" s="248" t="s">
        <v>285</v>
      </c>
      <c r="U9" s="162"/>
    </row>
    <row r="10" spans="2:22" ht="47.1" customHeight="1" x14ac:dyDescent="0.2">
      <c r="B10" s="228" t="s">
        <v>137</v>
      </c>
      <c r="C10" s="165" t="s">
        <v>173</v>
      </c>
      <c r="D10" s="249"/>
      <c r="E10" s="166" t="s">
        <v>9</v>
      </c>
      <c r="F10" s="165" t="s">
        <v>10</v>
      </c>
      <c r="G10" s="14">
        <v>126.44</v>
      </c>
      <c r="H10" s="113"/>
      <c r="I10" s="306"/>
      <c r="J10" s="15">
        <v>3</v>
      </c>
      <c r="K10" s="89">
        <f>+N10/J10</f>
        <v>0</v>
      </c>
      <c r="L10" s="89">
        <f>N10/J10</f>
        <v>0</v>
      </c>
      <c r="M10" s="89">
        <f>+N10/J10</f>
        <v>0</v>
      </c>
      <c r="N10" s="14">
        <f>G10*H10*J10</f>
        <v>0</v>
      </c>
      <c r="O10" s="116"/>
      <c r="P10" s="155"/>
      <c r="Q10" s="251">
        <f>$H10*HLOOKUP($D$4,'Cobenefit Tables'!$A$3:$BH$14,3,FALSE)</f>
        <v>0</v>
      </c>
      <c r="R10" s="251">
        <f>$H10*HLOOKUP($D$4,'Cobenefit Tables'!$A$16:$BH$27,3,FALSE)</f>
        <v>0</v>
      </c>
      <c r="S10" s="252"/>
      <c r="U10" s="162"/>
    </row>
    <row r="11" spans="2:22" ht="47.1" customHeight="1" x14ac:dyDescent="0.2">
      <c r="B11" s="234"/>
      <c r="C11" s="165" t="s">
        <v>174</v>
      </c>
      <c r="D11" s="249"/>
      <c r="E11" s="166" t="s">
        <v>9</v>
      </c>
      <c r="F11" s="165" t="s">
        <v>10</v>
      </c>
      <c r="G11" s="14">
        <v>126.44</v>
      </c>
      <c r="H11" s="113"/>
      <c r="I11" s="307"/>
      <c r="J11" s="15">
        <v>3</v>
      </c>
      <c r="K11" s="89">
        <f t="shared" ref="K11" si="0">+N11/J11</f>
        <v>0</v>
      </c>
      <c r="L11" s="89">
        <f t="shared" ref="L11" si="1">N11/J11</f>
        <v>0</v>
      </c>
      <c r="M11" s="89">
        <f t="shared" ref="M11" si="2">+N11/J11</f>
        <v>0</v>
      </c>
      <c r="N11" s="14">
        <f t="shared" ref="N11" si="3">G11*H11*J11</f>
        <v>0</v>
      </c>
      <c r="O11" s="116"/>
      <c r="P11" s="136"/>
      <c r="Q11" s="253"/>
      <c r="R11" s="253"/>
      <c r="S11" s="254"/>
    </row>
    <row r="12" spans="2:22" ht="47.1" customHeight="1" x14ac:dyDescent="0.2">
      <c r="B12" s="234"/>
      <c r="C12" s="165" t="s">
        <v>175</v>
      </c>
      <c r="D12" s="166" t="s">
        <v>178</v>
      </c>
      <c r="E12" s="166" t="s">
        <v>176</v>
      </c>
      <c r="F12" s="165" t="s">
        <v>10</v>
      </c>
      <c r="G12" s="14">
        <v>147</v>
      </c>
      <c r="H12" s="113"/>
      <c r="I12" s="306"/>
      <c r="J12" s="15">
        <v>3</v>
      </c>
      <c r="K12" s="89">
        <f>+N12/J12</f>
        <v>0</v>
      </c>
      <c r="L12" s="89">
        <f>N12/J12</f>
        <v>0</v>
      </c>
      <c r="M12" s="89">
        <f>+N12/J12</f>
        <v>0</v>
      </c>
      <c r="N12" s="14">
        <f>G12*H12*J12</f>
        <v>0</v>
      </c>
      <c r="O12" s="116"/>
      <c r="P12" s="136"/>
      <c r="Q12" s="255">
        <f>$H12*HLOOKUP($D$4,'Cobenefit Tables'!$A$3:$BH$14,2,FALSE)</f>
        <v>0</v>
      </c>
      <c r="R12" s="255">
        <f>$H12*HLOOKUP($D$4,'Cobenefit Tables'!$A$16:$BH$27,2,FALSE)</f>
        <v>0</v>
      </c>
      <c r="S12" s="254"/>
    </row>
    <row r="13" spans="2:22" ht="47.1" customHeight="1" x14ac:dyDescent="0.2">
      <c r="B13" s="229"/>
      <c r="C13" s="165" t="s">
        <v>174</v>
      </c>
      <c r="D13" s="166" t="s">
        <v>178</v>
      </c>
      <c r="E13" s="166" t="s">
        <v>176</v>
      </c>
      <c r="F13" s="165" t="s">
        <v>10</v>
      </c>
      <c r="G13" s="14">
        <v>147</v>
      </c>
      <c r="H13" s="113"/>
      <c r="I13" s="307"/>
      <c r="J13" s="15">
        <v>3</v>
      </c>
      <c r="K13" s="89">
        <f t="shared" ref="K13" si="4">+N13/J13</f>
        <v>0</v>
      </c>
      <c r="L13" s="89">
        <f t="shared" ref="L13" si="5">N13/J13</f>
        <v>0</v>
      </c>
      <c r="M13" s="89">
        <f t="shared" ref="M13" si="6">+N13/J13</f>
        <v>0</v>
      </c>
      <c r="N13" s="14">
        <f t="shared" ref="N13" si="7">G13*H13*J13</f>
        <v>0</v>
      </c>
      <c r="O13" s="116"/>
      <c r="P13" s="136"/>
      <c r="Q13" s="253"/>
      <c r="R13" s="253"/>
      <c r="S13" s="254"/>
    </row>
    <row r="14" spans="2:22" ht="35.25" customHeight="1" x14ac:dyDescent="0.2">
      <c r="B14" s="228" t="s">
        <v>193</v>
      </c>
      <c r="C14" s="211" t="s">
        <v>81</v>
      </c>
      <c r="D14" s="200" t="s">
        <v>188</v>
      </c>
      <c r="E14" s="166" t="s">
        <v>82</v>
      </c>
      <c r="F14" s="165" t="s">
        <v>10</v>
      </c>
      <c r="G14" s="14">
        <v>19.62</v>
      </c>
      <c r="H14" s="113"/>
      <c r="I14" s="307"/>
      <c r="J14" s="15">
        <v>3</v>
      </c>
      <c r="K14" s="89">
        <f t="shared" ref="K14:K25" si="8">+N14/J14</f>
        <v>0</v>
      </c>
      <c r="L14" s="89">
        <f t="shared" ref="L14:L25" si="9">N14/J14</f>
        <v>0</v>
      </c>
      <c r="M14" s="89">
        <f t="shared" ref="M14:M25" si="10">+N14/J14</f>
        <v>0</v>
      </c>
      <c r="N14" s="14">
        <f t="shared" ref="N14:N22" si="11">G14*H14*J14</f>
        <v>0</v>
      </c>
      <c r="O14" s="116"/>
      <c r="P14" s="136"/>
      <c r="Q14" s="253"/>
      <c r="R14" s="253"/>
      <c r="S14" s="254"/>
    </row>
    <row r="15" spans="2:22" ht="35.25" customHeight="1" x14ac:dyDescent="0.2">
      <c r="B15" s="229"/>
      <c r="C15" s="212"/>
      <c r="D15" s="202"/>
      <c r="E15" s="256" t="s">
        <v>194</v>
      </c>
      <c r="F15" s="165" t="s">
        <v>10</v>
      </c>
      <c r="G15" s="14">
        <v>52.34</v>
      </c>
      <c r="H15" s="113"/>
      <c r="I15" s="307"/>
      <c r="J15" s="15">
        <v>3</v>
      </c>
      <c r="K15" s="89">
        <f t="shared" si="8"/>
        <v>0</v>
      </c>
      <c r="L15" s="89">
        <f t="shared" si="9"/>
        <v>0</v>
      </c>
      <c r="M15" s="89">
        <f t="shared" si="10"/>
        <v>0</v>
      </c>
      <c r="N15" s="14">
        <f t="shared" si="11"/>
        <v>0</v>
      </c>
      <c r="O15" s="116"/>
      <c r="P15" s="136"/>
      <c r="Q15" s="253"/>
      <c r="R15" s="253"/>
      <c r="S15" s="254"/>
    </row>
    <row r="16" spans="2:22" ht="47.1" customHeight="1" x14ac:dyDescent="0.2">
      <c r="B16" s="228" t="s">
        <v>138</v>
      </c>
      <c r="C16" s="166" t="s">
        <v>11</v>
      </c>
      <c r="D16" s="166" t="s">
        <v>185</v>
      </c>
      <c r="E16" s="166" t="s">
        <v>12</v>
      </c>
      <c r="F16" s="165" t="s">
        <v>10</v>
      </c>
      <c r="G16" s="14">
        <v>385.7</v>
      </c>
      <c r="H16" s="113"/>
      <c r="I16" s="307"/>
      <c r="J16" s="15">
        <v>3</v>
      </c>
      <c r="K16" s="89">
        <f t="shared" si="8"/>
        <v>0</v>
      </c>
      <c r="L16" s="89">
        <f t="shared" si="9"/>
        <v>0</v>
      </c>
      <c r="M16" s="89">
        <f t="shared" si="10"/>
        <v>0</v>
      </c>
      <c r="N16" s="14">
        <f t="shared" si="11"/>
        <v>0</v>
      </c>
      <c r="O16" s="116"/>
      <c r="P16" s="136"/>
      <c r="Q16" s="253"/>
      <c r="R16" s="253"/>
      <c r="S16" s="254"/>
    </row>
    <row r="17" spans="2:19" ht="47.1" customHeight="1" x14ac:dyDescent="0.2">
      <c r="B17" s="229"/>
      <c r="C17" s="166" t="s">
        <v>11</v>
      </c>
      <c r="D17" s="166" t="s">
        <v>186</v>
      </c>
      <c r="E17" s="166" t="s">
        <v>165</v>
      </c>
      <c r="F17" s="165" t="s">
        <v>10</v>
      </c>
      <c r="G17" s="14">
        <v>1712.14</v>
      </c>
      <c r="H17" s="113"/>
      <c r="I17" s="307"/>
      <c r="J17" s="15">
        <v>3</v>
      </c>
      <c r="K17" s="89">
        <f t="shared" ref="K17" si="12">+N17/J17</f>
        <v>0</v>
      </c>
      <c r="L17" s="89">
        <f t="shared" ref="L17" si="13">N17/J17</f>
        <v>0</v>
      </c>
      <c r="M17" s="89">
        <f t="shared" ref="M17" si="14">+N17/J17</f>
        <v>0</v>
      </c>
      <c r="N17" s="14">
        <f t="shared" ref="N17" si="15">G17*H17*J17</f>
        <v>0</v>
      </c>
      <c r="O17" s="116"/>
      <c r="P17" s="136"/>
      <c r="Q17" s="253"/>
      <c r="R17" s="253"/>
      <c r="S17" s="254"/>
    </row>
    <row r="18" spans="2:19" ht="63.75" customHeight="1" x14ac:dyDescent="0.2">
      <c r="B18" s="228" t="s">
        <v>159</v>
      </c>
      <c r="C18" s="166" t="s">
        <v>83</v>
      </c>
      <c r="D18" s="166" t="s">
        <v>195</v>
      </c>
      <c r="E18" s="166" t="s">
        <v>166</v>
      </c>
      <c r="F18" s="165" t="s">
        <v>10</v>
      </c>
      <c r="G18" s="14">
        <v>14.26</v>
      </c>
      <c r="H18" s="113"/>
      <c r="I18" s="307"/>
      <c r="J18" s="15">
        <v>3</v>
      </c>
      <c r="K18" s="89">
        <f t="shared" si="8"/>
        <v>0</v>
      </c>
      <c r="L18" s="89">
        <f t="shared" si="9"/>
        <v>0</v>
      </c>
      <c r="M18" s="89">
        <f t="shared" si="10"/>
        <v>0</v>
      </c>
      <c r="N18" s="14">
        <f t="shared" si="11"/>
        <v>0</v>
      </c>
      <c r="O18" s="116"/>
      <c r="P18" s="136"/>
      <c r="Q18" s="255">
        <f>$H18*HLOOKUP($D$4,'Cobenefit Tables'!$A$3:$BH$14,4,FALSE)</f>
        <v>0</v>
      </c>
      <c r="R18" s="255">
        <f>$H18*HLOOKUP($D$4,'Cobenefit Tables'!$A$16:$BH$27,4,FALSE)</f>
        <v>0</v>
      </c>
      <c r="S18" s="254"/>
    </row>
    <row r="19" spans="2:19" ht="62.25" customHeight="1" x14ac:dyDescent="0.2">
      <c r="B19" s="229"/>
      <c r="C19" s="166" t="s">
        <v>84</v>
      </c>
      <c r="D19" s="166" t="s">
        <v>195</v>
      </c>
      <c r="E19" s="166" t="s">
        <v>166</v>
      </c>
      <c r="F19" s="165" t="s">
        <v>10</v>
      </c>
      <c r="G19" s="14">
        <v>14.26</v>
      </c>
      <c r="H19" s="113"/>
      <c r="I19" s="307"/>
      <c r="J19" s="15">
        <v>3</v>
      </c>
      <c r="K19" s="89">
        <f t="shared" si="8"/>
        <v>0</v>
      </c>
      <c r="L19" s="89">
        <f t="shared" si="9"/>
        <v>0</v>
      </c>
      <c r="M19" s="89">
        <f t="shared" si="10"/>
        <v>0</v>
      </c>
      <c r="N19" s="14">
        <f t="shared" si="11"/>
        <v>0</v>
      </c>
      <c r="O19" s="116"/>
      <c r="P19" s="136"/>
      <c r="Q19" s="253"/>
      <c r="R19" s="253"/>
      <c r="S19" s="254"/>
    </row>
    <row r="20" spans="2:19" ht="40.5" customHeight="1" x14ac:dyDescent="0.2">
      <c r="B20" s="216" t="s">
        <v>177</v>
      </c>
      <c r="C20" s="165" t="s">
        <v>13</v>
      </c>
      <c r="D20" s="200" t="s">
        <v>187</v>
      </c>
      <c r="E20" s="165" t="s">
        <v>14</v>
      </c>
      <c r="F20" s="165" t="s">
        <v>10</v>
      </c>
      <c r="G20" s="14">
        <v>30.18</v>
      </c>
      <c r="H20" s="113"/>
      <c r="I20" s="307"/>
      <c r="J20" s="15">
        <v>3</v>
      </c>
      <c r="K20" s="89">
        <f t="shared" si="8"/>
        <v>0</v>
      </c>
      <c r="L20" s="89">
        <f t="shared" si="9"/>
        <v>0</v>
      </c>
      <c r="M20" s="89">
        <f t="shared" si="10"/>
        <v>0</v>
      </c>
      <c r="N20" s="14">
        <f t="shared" si="11"/>
        <v>0</v>
      </c>
      <c r="O20" s="116"/>
      <c r="P20" s="136"/>
      <c r="Q20" s="255">
        <f>$H20*HLOOKUP($D$4,'Cobenefit Tables'!$A$3:$BH$14,5,FALSE)</f>
        <v>0</v>
      </c>
      <c r="R20" s="255">
        <f>$H20*HLOOKUP($D$4,'Cobenefit Tables'!$A$16:$BH$27,5,FALSE)</f>
        <v>0</v>
      </c>
      <c r="S20" s="257">
        <f>H20*'Cobenefit Tables'!C43</f>
        <v>0</v>
      </c>
    </row>
    <row r="21" spans="2:19" ht="40.5" customHeight="1" x14ac:dyDescent="0.2">
      <c r="B21" s="216"/>
      <c r="C21" s="165" t="s">
        <v>15</v>
      </c>
      <c r="D21" s="202"/>
      <c r="E21" s="165" t="s">
        <v>14</v>
      </c>
      <c r="F21" s="165" t="s">
        <v>10</v>
      </c>
      <c r="G21" s="14">
        <v>30.18</v>
      </c>
      <c r="H21" s="113"/>
      <c r="I21" s="307"/>
      <c r="J21" s="15">
        <v>3</v>
      </c>
      <c r="K21" s="89">
        <f t="shared" si="8"/>
        <v>0</v>
      </c>
      <c r="L21" s="89">
        <f t="shared" si="9"/>
        <v>0</v>
      </c>
      <c r="M21" s="89">
        <f t="shared" si="10"/>
        <v>0</v>
      </c>
      <c r="N21" s="14">
        <f t="shared" si="11"/>
        <v>0</v>
      </c>
      <c r="O21" s="116"/>
      <c r="P21" s="136"/>
      <c r="Q21" s="253"/>
      <c r="R21" s="253"/>
      <c r="S21" s="254"/>
    </row>
    <row r="22" spans="2:19" ht="47.1" customHeight="1" x14ac:dyDescent="0.2">
      <c r="B22" s="230" t="s">
        <v>139</v>
      </c>
      <c r="C22" s="165" t="s">
        <v>16</v>
      </c>
      <c r="D22" s="200" t="s">
        <v>196</v>
      </c>
      <c r="E22" s="165" t="s">
        <v>17</v>
      </c>
      <c r="F22" s="165" t="s">
        <v>10</v>
      </c>
      <c r="G22" s="14">
        <v>32.06</v>
      </c>
      <c r="H22" s="113"/>
      <c r="I22" s="307"/>
      <c r="J22" s="15">
        <v>3</v>
      </c>
      <c r="K22" s="89">
        <f t="shared" si="8"/>
        <v>0</v>
      </c>
      <c r="L22" s="89">
        <f t="shared" si="9"/>
        <v>0</v>
      </c>
      <c r="M22" s="89">
        <f t="shared" si="10"/>
        <v>0</v>
      </c>
      <c r="N22" s="14">
        <f t="shared" si="11"/>
        <v>0</v>
      </c>
      <c r="O22" s="116"/>
      <c r="P22" s="136"/>
      <c r="Q22" s="255">
        <f>$H22*HLOOKUP($D$4,'Cobenefit Tables'!$A$3:$BH$14,6,FALSE)</f>
        <v>0</v>
      </c>
      <c r="R22" s="255">
        <f>$H22*HLOOKUP($D$4,'Cobenefit Tables'!$A$16:$BH$27,6,FALSE)</f>
        <v>0</v>
      </c>
      <c r="S22" s="257">
        <f>H22*'Cobenefit Tables'!C44</f>
        <v>0</v>
      </c>
    </row>
    <row r="23" spans="2:19" ht="47.1" customHeight="1" x14ac:dyDescent="0.2">
      <c r="B23" s="231"/>
      <c r="C23" s="165" t="s">
        <v>18</v>
      </c>
      <c r="D23" s="202"/>
      <c r="E23" s="165" t="s">
        <v>17</v>
      </c>
      <c r="F23" s="165" t="s">
        <v>10</v>
      </c>
      <c r="G23" s="14">
        <v>32.06</v>
      </c>
      <c r="H23" s="113"/>
      <c r="I23" s="307"/>
      <c r="J23" s="15">
        <v>3</v>
      </c>
      <c r="K23" s="89">
        <f t="shared" si="8"/>
        <v>0</v>
      </c>
      <c r="L23" s="89">
        <f t="shared" si="9"/>
        <v>0</v>
      </c>
      <c r="M23" s="89">
        <f t="shared" si="10"/>
        <v>0</v>
      </c>
      <c r="N23" s="14">
        <f>G23*H23*J23</f>
        <v>0</v>
      </c>
      <c r="O23" s="116"/>
      <c r="P23" s="136"/>
      <c r="Q23" s="253"/>
      <c r="R23" s="253"/>
      <c r="S23" s="254"/>
    </row>
    <row r="24" spans="2:19" ht="47.1" customHeight="1" x14ac:dyDescent="0.2">
      <c r="B24" s="232" t="s">
        <v>158</v>
      </c>
      <c r="C24" s="165" t="s">
        <v>85</v>
      </c>
      <c r="D24" s="211" t="s">
        <v>96</v>
      </c>
      <c r="E24" s="165" t="s">
        <v>87</v>
      </c>
      <c r="F24" s="165" t="s">
        <v>10</v>
      </c>
      <c r="G24" s="14">
        <v>2.64</v>
      </c>
      <c r="H24" s="113"/>
      <c r="I24" s="307"/>
      <c r="J24" s="15">
        <v>3</v>
      </c>
      <c r="K24" s="89">
        <f t="shared" si="8"/>
        <v>0</v>
      </c>
      <c r="L24" s="89">
        <f t="shared" si="9"/>
        <v>0</v>
      </c>
      <c r="M24" s="89">
        <f t="shared" si="10"/>
        <v>0</v>
      </c>
      <c r="N24" s="14">
        <f>G24*H24*J24</f>
        <v>0</v>
      </c>
      <c r="O24" s="116"/>
      <c r="P24" s="136"/>
      <c r="Q24" s="253"/>
      <c r="R24" s="253"/>
      <c r="S24" s="254"/>
    </row>
    <row r="25" spans="2:19" ht="47.1" customHeight="1" x14ac:dyDescent="0.2">
      <c r="B25" s="233"/>
      <c r="C25" s="258" t="s">
        <v>86</v>
      </c>
      <c r="D25" s="212"/>
      <c r="E25" s="165" t="s">
        <v>87</v>
      </c>
      <c r="F25" s="259" t="s">
        <v>10</v>
      </c>
      <c r="G25" s="66">
        <v>2.64</v>
      </c>
      <c r="H25" s="113"/>
      <c r="I25" s="307"/>
      <c r="J25" s="15">
        <v>3</v>
      </c>
      <c r="K25" s="89">
        <f t="shared" si="8"/>
        <v>0</v>
      </c>
      <c r="L25" s="89">
        <f t="shared" si="9"/>
        <v>0</v>
      </c>
      <c r="M25" s="89">
        <f t="shared" si="10"/>
        <v>0</v>
      </c>
      <c r="N25" s="14">
        <f>G25*H25*J25</f>
        <v>0</v>
      </c>
      <c r="O25" s="116"/>
      <c r="P25" s="136"/>
      <c r="Q25" s="253"/>
      <c r="R25" s="253"/>
      <c r="S25" s="254"/>
    </row>
    <row r="26" spans="2:19" ht="20.100000000000001" customHeight="1" x14ac:dyDescent="0.2">
      <c r="B26" s="308" t="s">
        <v>70</v>
      </c>
      <c r="C26" s="309"/>
      <c r="D26" s="309"/>
      <c r="E26" s="309"/>
      <c r="F26" s="309"/>
      <c r="G26" s="309"/>
      <c r="H26" s="309"/>
      <c r="I26" s="309"/>
      <c r="J26" s="309"/>
      <c r="K26" s="309"/>
      <c r="L26" s="309"/>
      <c r="M26" s="309"/>
      <c r="N26" s="309"/>
      <c r="O26" s="309"/>
      <c r="P26" s="309"/>
      <c r="Q26" s="309"/>
      <c r="R26" s="309"/>
      <c r="S26" s="310"/>
    </row>
    <row r="27" spans="2:19" ht="48" customHeight="1" x14ac:dyDescent="0.2">
      <c r="B27" s="156" t="s">
        <v>1</v>
      </c>
      <c r="C27" s="9" t="s">
        <v>19</v>
      </c>
      <c r="D27" s="9" t="s">
        <v>3</v>
      </c>
      <c r="E27" s="9" t="s">
        <v>4</v>
      </c>
      <c r="F27" s="9" t="s">
        <v>5</v>
      </c>
      <c r="G27" s="10" t="s">
        <v>6</v>
      </c>
      <c r="H27" s="11" t="s">
        <v>7</v>
      </c>
      <c r="I27" s="9" t="s">
        <v>281</v>
      </c>
      <c r="J27" s="111" t="s">
        <v>164</v>
      </c>
      <c r="K27" s="88" t="s">
        <v>161</v>
      </c>
      <c r="L27" s="88" t="s">
        <v>162</v>
      </c>
      <c r="M27" s="88" t="s">
        <v>163</v>
      </c>
      <c r="N27" s="12" t="s">
        <v>80</v>
      </c>
      <c r="O27" s="13" t="s">
        <v>8</v>
      </c>
      <c r="P27" s="260" t="s">
        <v>77</v>
      </c>
      <c r="Q27" s="9" t="s">
        <v>277</v>
      </c>
      <c r="R27" s="9" t="s">
        <v>278</v>
      </c>
      <c r="S27" s="248" t="s">
        <v>279</v>
      </c>
    </row>
    <row r="28" spans="2:19" ht="47.1" customHeight="1" x14ac:dyDescent="0.2">
      <c r="B28" s="227" t="s">
        <v>140</v>
      </c>
      <c r="C28" s="165" t="s">
        <v>20</v>
      </c>
      <c r="D28" s="166" t="s">
        <v>199</v>
      </c>
      <c r="E28" s="166" t="s">
        <v>197</v>
      </c>
      <c r="F28" s="165" t="s">
        <v>203</v>
      </c>
      <c r="G28" s="16">
        <v>50</v>
      </c>
      <c r="H28" s="113"/>
      <c r="I28" s="113"/>
      <c r="J28" s="15">
        <v>3</v>
      </c>
      <c r="K28" s="89">
        <f>+N28/J28</f>
        <v>0</v>
      </c>
      <c r="L28" s="89">
        <f>+N28/J28</f>
        <v>0</v>
      </c>
      <c r="M28" s="89">
        <f>N28/J28</f>
        <v>0</v>
      </c>
      <c r="N28" s="17">
        <f>G28*H28*I28*J28</f>
        <v>0</v>
      </c>
      <c r="O28" s="116"/>
      <c r="P28" s="136"/>
      <c r="Q28" s="255">
        <f>$H28*HLOOKUP($D$4,'Cobenefit Tables'!$A$3:$BH$14,7,FALSE)</f>
        <v>0</v>
      </c>
      <c r="R28" s="255">
        <f>$H28*HLOOKUP($D$4,'Cobenefit Tables'!$A$16:$BH$27,7,FALSE)</f>
        <v>0</v>
      </c>
      <c r="S28" s="254"/>
    </row>
    <row r="29" spans="2:19" ht="47.1" customHeight="1" x14ac:dyDescent="0.2">
      <c r="B29" s="227"/>
      <c r="C29" s="165" t="s">
        <v>21</v>
      </c>
      <c r="D29" s="166" t="s">
        <v>200</v>
      </c>
      <c r="E29" s="166" t="s">
        <v>197</v>
      </c>
      <c r="F29" s="165" t="s">
        <v>203</v>
      </c>
      <c r="G29" s="16">
        <v>50</v>
      </c>
      <c r="H29" s="113"/>
      <c r="I29" s="113"/>
      <c r="J29" s="15">
        <v>3</v>
      </c>
      <c r="K29" s="89">
        <f t="shared" ref="K29:K33" si="16">+N29/J29</f>
        <v>0</v>
      </c>
      <c r="L29" s="89">
        <f t="shared" ref="L29:L33" si="17">+N29/J29</f>
        <v>0</v>
      </c>
      <c r="M29" s="89">
        <f t="shared" ref="M29:M33" si="18">N29/J29</f>
        <v>0</v>
      </c>
      <c r="N29" s="17">
        <f t="shared" ref="N29:N32" si="19">G29*H29*I29*J29</f>
        <v>0</v>
      </c>
      <c r="O29" s="116"/>
      <c r="P29" s="136"/>
      <c r="Q29" s="255">
        <f>$H29*HLOOKUP($D$4,'Cobenefit Tables'!$A$3:$BH$14,8,FALSE)</f>
        <v>0</v>
      </c>
      <c r="R29" s="255">
        <f>$H29*HLOOKUP($D$4,'Cobenefit Tables'!$A$16:$BH$27,8,FALSE)</f>
        <v>0</v>
      </c>
      <c r="S29" s="254"/>
    </row>
    <row r="30" spans="2:19" ht="47.1" customHeight="1" x14ac:dyDescent="0.2">
      <c r="B30" s="227" t="s">
        <v>141</v>
      </c>
      <c r="C30" s="165" t="s">
        <v>22</v>
      </c>
      <c r="D30" s="166" t="s">
        <v>201</v>
      </c>
      <c r="E30" s="166" t="s">
        <v>197</v>
      </c>
      <c r="F30" s="165" t="s">
        <v>203</v>
      </c>
      <c r="G30" s="16">
        <v>50</v>
      </c>
      <c r="H30" s="113"/>
      <c r="I30" s="113"/>
      <c r="J30" s="15">
        <v>3</v>
      </c>
      <c r="K30" s="89">
        <f t="shared" si="16"/>
        <v>0</v>
      </c>
      <c r="L30" s="89">
        <f t="shared" si="17"/>
        <v>0</v>
      </c>
      <c r="M30" s="89">
        <f t="shared" si="18"/>
        <v>0</v>
      </c>
      <c r="N30" s="17">
        <f t="shared" si="19"/>
        <v>0</v>
      </c>
      <c r="O30" s="116"/>
      <c r="P30" s="136"/>
      <c r="Q30" s="255">
        <f>$H30*HLOOKUP($D$4,'Cobenefit Tables'!$A$3:$BH$14,9,FALSE)</f>
        <v>0</v>
      </c>
      <c r="R30" s="255">
        <f>$H30*HLOOKUP($D$4,'Cobenefit Tables'!$A$16:$BH$27,9,FALSE)</f>
        <v>0</v>
      </c>
      <c r="S30" s="254"/>
    </row>
    <row r="31" spans="2:19" ht="47.1" customHeight="1" x14ac:dyDescent="0.2">
      <c r="B31" s="227"/>
      <c r="C31" s="165" t="s">
        <v>23</v>
      </c>
      <c r="D31" s="166" t="s">
        <v>202</v>
      </c>
      <c r="E31" s="166" t="s">
        <v>197</v>
      </c>
      <c r="F31" s="165" t="s">
        <v>203</v>
      </c>
      <c r="G31" s="16">
        <v>50</v>
      </c>
      <c r="H31" s="113"/>
      <c r="I31" s="113"/>
      <c r="J31" s="15">
        <v>3</v>
      </c>
      <c r="K31" s="89">
        <f t="shared" si="16"/>
        <v>0</v>
      </c>
      <c r="L31" s="89">
        <f t="shared" si="17"/>
        <v>0</v>
      </c>
      <c r="M31" s="89">
        <f t="shared" si="18"/>
        <v>0</v>
      </c>
      <c r="N31" s="17">
        <f t="shared" si="19"/>
        <v>0</v>
      </c>
      <c r="O31" s="116"/>
      <c r="P31" s="136"/>
      <c r="Q31" s="255">
        <f>$H31*HLOOKUP($D$4,'Cobenefit Tables'!$A$3:$BH$14,10,FALSE)</f>
        <v>0</v>
      </c>
      <c r="R31" s="255">
        <f>$H31*HLOOKUP($D$4,'Cobenefit Tables'!$A$16:$BH$27,10,FALSE)</f>
        <v>0</v>
      </c>
      <c r="S31" s="254"/>
    </row>
    <row r="32" spans="2:19" ht="47.1" customHeight="1" x14ac:dyDescent="0.2">
      <c r="B32" s="216" t="s">
        <v>142</v>
      </c>
      <c r="C32" s="166" t="s">
        <v>24</v>
      </c>
      <c r="D32" s="166" t="s">
        <v>202</v>
      </c>
      <c r="E32" s="166" t="s">
        <v>197</v>
      </c>
      <c r="F32" s="165" t="s">
        <v>203</v>
      </c>
      <c r="G32" s="16">
        <v>50</v>
      </c>
      <c r="H32" s="113"/>
      <c r="I32" s="113"/>
      <c r="J32" s="15">
        <v>3</v>
      </c>
      <c r="K32" s="89">
        <f t="shared" si="16"/>
        <v>0</v>
      </c>
      <c r="L32" s="89">
        <f t="shared" si="17"/>
        <v>0</v>
      </c>
      <c r="M32" s="89">
        <f t="shared" si="18"/>
        <v>0</v>
      </c>
      <c r="N32" s="17">
        <f t="shared" si="19"/>
        <v>0</v>
      </c>
      <c r="O32" s="116"/>
      <c r="P32" s="136"/>
      <c r="Q32" s="255">
        <f>$H32*HLOOKUP($D$4,'Cobenefit Tables'!$A$3:$BH$14,11,FALSE)</f>
        <v>0</v>
      </c>
      <c r="R32" s="255">
        <f>$H32*HLOOKUP($D$4,'Cobenefit Tables'!$A$16:$BH$27,11,FALSE)</f>
        <v>0</v>
      </c>
      <c r="S32" s="254"/>
    </row>
    <row r="33" spans="2:19" ht="47.1" customHeight="1" x14ac:dyDescent="0.2">
      <c r="B33" s="216"/>
      <c r="C33" s="165" t="s">
        <v>25</v>
      </c>
      <c r="D33" s="166" t="s">
        <v>202</v>
      </c>
      <c r="E33" s="166" t="s">
        <v>197</v>
      </c>
      <c r="F33" s="165" t="s">
        <v>203</v>
      </c>
      <c r="G33" s="16">
        <v>50</v>
      </c>
      <c r="H33" s="113"/>
      <c r="I33" s="113"/>
      <c r="J33" s="15">
        <v>3</v>
      </c>
      <c r="K33" s="89">
        <f t="shared" si="16"/>
        <v>0</v>
      </c>
      <c r="L33" s="89">
        <f t="shared" si="17"/>
        <v>0</v>
      </c>
      <c r="M33" s="89">
        <f t="shared" si="18"/>
        <v>0</v>
      </c>
      <c r="N33" s="17">
        <f>G33*H33*I33*J33</f>
        <v>0</v>
      </c>
      <c r="O33" s="116"/>
      <c r="P33" s="136"/>
      <c r="Q33" s="255">
        <f>$H33*HLOOKUP($D$4,'Cobenefit Tables'!$A$3:$BH$14,12,FALSE)</f>
        <v>0</v>
      </c>
      <c r="R33" s="255">
        <f>$H33*HLOOKUP($D$4,'Cobenefit Tables'!$A$16:$BH$27,12,FALSE)</f>
        <v>0</v>
      </c>
      <c r="S33" s="254"/>
    </row>
    <row r="34" spans="2:19" ht="23.25" customHeight="1" thickBot="1" x14ac:dyDescent="0.25">
      <c r="B34" s="311"/>
      <c r="C34" s="312"/>
      <c r="D34" s="312"/>
      <c r="E34" s="312"/>
      <c r="F34" s="312"/>
      <c r="G34" s="312"/>
      <c r="H34" s="217" t="s">
        <v>26</v>
      </c>
      <c r="I34" s="217"/>
      <c r="J34" s="218"/>
      <c r="K34" s="157">
        <f t="shared" ref="K34:P34" si="20">SUM(K10:K33)</f>
        <v>0</v>
      </c>
      <c r="L34" s="157">
        <f t="shared" si="20"/>
        <v>0</v>
      </c>
      <c r="M34" s="157">
        <f t="shared" si="20"/>
        <v>0</v>
      </c>
      <c r="N34" s="158">
        <f t="shared" si="20"/>
        <v>0</v>
      </c>
      <c r="O34" s="159">
        <f t="shared" si="20"/>
        <v>0</v>
      </c>
      <c r="P34" s="159">
        <f t="shared" si="20"/>
        <v>0</v>
      </c>
      <c r="Q34" s="160">
        <f>SUM(Q10,Q12,Q18,Q20,Q22,Q28:Q33)</f>
        <v>0</v>
      </c>
      <c r="R34" s="160">
        <f t="shared" ref="R34" si="21">SUM(R10,R12,R18,R20,R22,R28:R33)</f>
        <v>0</v>
      </c>
      <c r="S34" s="161">
        <f>SUM(S20,S22)</f>
        <v>0</v>
      </c>
    </row>
    <row r="35" spans="2:19" s="19" customFormat="1" ht="12.95" customHeight="1" thickBot="1" x14ac:dyDescent="0.25">
      <c r="B35" s="313"/>
      <c r="C35" s="313"/>
      <c r="D35" s="313"/>
      <c r="E35" s="313"/>
      <c r="F35" s="313"/>
      <c r="G35" s="313"/>
      <c r="H35" s="48"/>
      <c r="I35" s="48"/>
      <c r="J35" s="256"/>
      <c r="K35" s="261"/>
      <c r="L35" s="261"/>
      <c r="M35" s="261"/>
      <c r="N35" s="256"/>
      <c r="O35" s="262"/>
      <c r="P35" s="263"/>
      <c r="Q35" s="263"/>
      <c r="R35" s="263"/>
      <c r="S35" s="263"/>
    </row>
    <row r="36" spans="2:19" ht="24.95" customHeight="1" thickTop="1" x14ac:dyDescent="0.2">
      <c r="B36" s="219" t="s">
        <v>27</v>
      </c>
      <c r="C36" s="220"/>
      <c r="D36" s="220"/>
      <c r="E36" s="220"/>
      <c r="F36" s="220"/>
      <c r="G36" s="220"/>
      <c r="H36" s="220"/>
      <c r="I36" s="220"/>
      <c r="J36" s="221"/>
      <c r="K36" s="91"/>
      <c r="L36" s="91"/>
      <c r="M36" s="91"/>
      <c r="N36" s="20"/>
      <c r="O36" s="21"/>
      <c r="P36" s="264"/>
      <c r="Q36" s="162"/>
      <c r="R36" s="162"/>
      <c r="S36" s="162"/>
    </row>
    <row r="37" spans="2:19" ht="46.5" customHeight="1" x14ac:dyDescent="0.2">
      <c r="B37" s="22" t="s">
        <v>1</v>
      </c>
      <c r="C37" s="23" t="s">
        <v>2</v>
      </c>
      <c r="D37" s="23" t="s">
        <v>3</v>
      </c>
      <c r="E37" s="23" t="s">
        <v>4</v>
      </c>
      <c r="F37" s="23" t="s">
        <v>5</v>
      </c>
      <c r="G37" s="24" t="s">
        <v>6</v>
      </c>
      <c r="H37" s="23" t="s">
        <v>7</v>
      </c>
      <c r="I37" s="23" t="s">
        <v>71</v>
      </c>
      <c r="J37" s="111" t="s">
        <v>164</v>
      </c>
      <c r="K37" s="92" t="s">
        <v>161</v>
      </c>
      <c r="L37" s="92" t="s">
        <v>162</v>
      </c>
      <c r="M37" s="92" t="s">
        <v>163</v>
      </c>
      <c r="N37" s="25" t="s">
        <v>80</v>
      </c>
      <c r="O37" s="26" t="s">
        <v>8</v>
      </c>
      <c r="P37" s="265" t="s">
        <v>77</v>
      </c>
      <c r="Q37" s="162"/>
      <c r="R37" s="162"/>
      <c r="S37" s="162"/>
    </row>
    <row r="38" spans="2:19" ht="28.5" customHeight="1" x14ac:dyDescent="0.2">
      <c r="B38" s="197" t="s">
        <v>157</v>
      </c>
      <c r="C38" s="200" t="s">
        <v>95</v>
      </c>
      <c r="D38" s="200" t="s">
        <v>98</v>
      </c>
      <c r="E38" s="166" t="s">
        <v>88</v>
      </c>
      <c r="F38" s="27" t="s">
        <v>10</v>
      </c>
      <c r="G38" s="266">
        <f>101.58*2</f>
        <v>203.16</v>
      </c>
      <c r="H38" s="114"/>
      <c r="I38" s="28"/>
      <c r="J38" s="18">
        <v>1</v>
      </c>
      <c r="K38" s="89">
        <f>+N38/J38</f>
        <v>0</v>
      </c>
      <c r="L38" s="90"/>
      <c r="M38" s="90"/>
      <c r="N38" s="17">
        <f t="shared" ref="N38:N80" si="22">G38*H38*J38</f>
        <v>0</v>
      </c>
      <c r="O38" s="116"/>
      <c r="P38" s="117"/>
      <c r="Q38" s="162"/>
      <c r="R38" s="162"/>
      <c r="S38" s="162"/>
    </row>
    <row r="39" spans="2:19" ht="34.5" customHeight="1" x14ac:dyDescent="0.2">
      <c r="B39" s="198"/>
      <c r="C39" s="201"/>
      <c r="D39" s="222"/>
      <c r="E39" s="166" t="s">
        <v>89</v>
      </c>
      <c r="F39" s="27" t="s">
        <v>10</v>
      </c>
      <c r="G39" s="266">
        <f>303.87*2</f>
        <v>607.74</v>
      </c>
      <c r="H39" s="114"/>
      <c r="I39" s="28"/>
      <c r="J39" s="18">
        <v>1</v>
      </c>
      <c r="K39" s="89">
        <f t="shared" ref="K39:K93" si="23">+N39/J39</f>
        <v>0</v>
      </c>
      <c r="L39" s="90"/>
      <c r="M39" s="90"/>
      <c r="N39" s="17">
        <f t="shared" si="22"/>
        <v>0</v>
      </c>
      <c r="O39" s="116"/>
      <c r="P39" s="117"/>
      <c r="Q39" s="162"/>
      <c r="R39" s="162"/>
      <c r="S39" s="162"/>
    </row>
    <row r="40" spans="2:19" ht="27" customHeight="1" x14ac:dyDescent="0.2">
      <c r="B40" s="198"/>
      <c r="C40" s="201"/>
      <c r="D40" s="222"/>
      <c r="E40" s="166" t="s">
        <v>90</v>
      </c>
      <c r="F40" s="27" t="s">
        <v>10</v>
      </c>
      <c r="G40" s="266">
        <f>1111.13*2</f>
        <v>2222.2600000000002</v>
      </c>
      <c r="H40" s="114"/>
      <c r="I40" s="28"/>
      <c r="J40" s="18">
        <v>1</v>
      </c>
      <c r="K40" s="89">
        <f t="shared" si="23"/>
        <v>0</v>
      </c>
      <c r="L40" s="90"/>
      <c r="M40" s="90"/>
      <c r="N40" s="17">
        <f t="shared" si="22"/>
        <v>0</v>
      </c>
      <c r="O40" s="116"/>
      <c r="P40" s="117"/>
      <c r="Q40" s="162"/>
      <c r="R40" s="162"/>
      <c r="S40" s="162"/>
    </row>
    <row r="41" spans="2:19" ht="28.5" x14ac:dyDescent="0.2">
      <c r="B41" s="198"/>
      <c r="C41" s="201"/>
      <c r="D41" s="222"/>
      <c r="E41" s="166" t="s">
        <v>91</v>
      </c>
      <c r="F41" s="27" t="s">
        <v>10</v>
      </c>
      <c r="G41" s="266">
        <f>1232.5*2</f>
        <v>2465</v>
      </c>
      <c r="H41" s="114"/>
      <c r="I41" s="28"/>
      <c r="J41" s="18">
        <v>1</v>
      </c>
      <c r="K41" s="89">
        <f t="shared" si="23"/>
        <v>0</v>
      </c>
      <c r="L41" s="90"/>
      <c r="M41" s="90"/>
      <c r="N41" s="17">
        <f t="shared" si="22"/>
        <v>0</v>
      </c>
      <c r="O41" s="116"/>
      <c r="P41" s="117"/>
      <c r="Q41" s="162"/>
      <c r="R41" s="162"/>
      <c r="S41" s="162"/>
    </row>
    <row r="42" spans="2:19" ht="33.75" customHeight="1" x14ac:dyDescent="0.2">
      <c r="B42" s="198"/>
      <c r="C42" s="201"/>
      <c r="D42" s="222"/>
      <c r="E42" s="166" t="s">
        <v>92</v>
      </c>
      <c r="F42" s="27" t="s">
        <v>10</v>
      </c>
      <c r="G42" s="266">
        <f>140.37*2</f>
        <v>280.74</v>
      </c>
      <c r="H42" s="114"/>
      <c r="I42" s="28"/>
      <c r="J42" s="18">
        <v>1</v>
      </c>
      <c r="K42" s="89">
        <f t="shared" si="23"/>
        <v>0</v>
      </c>
      <c r="L42" s="90"/>
      <c r="M42" s="90"/>
      <c r="N42" s="17">
        <f t="shared" si="22"/>
        <v>0</v>
      </c>
      <c r="O42" s="116"/>
      <c r="P42" s="117"/>
      <c r="Q42" s="162"/>
      <c r="R42" s="162"/>
      <c r="S42" s="162"/>
    </row>
    <row r="43" spans="2:19" ht="34.5" customHeight="1" x14ac:dyDescent="0.2">
      <c r="B43" s="198"/>
      <c r="C43" s="201"/>
      <c r="D43" s="222"/>
      <c r="E43" s="166" t="s">
        <v>34</v>
      </c>
      <c r="F43" s="27" t="s">
        <v>10</v>
      </c>
      <c r="G43" s="266">
        <f>350.99*2</f>
        <v>701.98</v>
      </c>
      <c r="H43" s="114"/>
      <c r="I43" s="28"/>
      <c r="J43" s="18">
        <v>1</v>
      </c>
      <c r="K43" s="89">
        <f t="shared" si="23"/>
        <v>0</v>
      </c>
      <c r="L43" s="90"/>
      <c r="M43" s="90"/>
      <c r="N43" s="17">
        <f t="shared" si="22"/>
        <v>0</v>
      </c>
      <c r="O43" s="116"/>
      <c r="P43" s="117"/>
      <c r="Q43" s="162"/>
      <c r="R43" s="162"/>
      <c r="S43" s="162"/>
    </row>
    <row r="44" spans="2:19" ht="29.25" customHeight="1" x14ac:dyDescent="0.2">
      <c r="B44" s="198"/>
      <c r="C44" s="201"/>
      <c r="D44" s="222"/>
      <c r="E44" s="166" t="s">
        <v>93</v>
      </c>
      <c r="F44" s="27" t="s">
        <v>10</v>
      </c>
      <c r="G44" s="266">
        <f>785.94*2</f>
        <v>1571.88</v>
      </c>
      <c r="H44" s="114"/>
      <c r="I44" s="28"/>
      <c r="J44" s="18">
        <v>1</v>
      </c>
      <c r="K44" s="89">
        <f t="shared" si="23"/>
        <v>0</v>
      </c>
      <c r="L44" s="90"/>
      <c r="M44" s="90"/>
      <c r="N44" s="17">
        <f t="shared" si="22"/>
        <v>0</v>
      </c>
      <c r="O44" s="116"/>
      <c r="P44" s="117"/>
      <c r="Q44" s="162"/>
      <c r="R44" s="162"/>
      <c r="S44" s="162"/>
    </row>
    <row r="45" spans="2:19" ht="28.5" x14ac:dyDescent="0.2">
      <c r="B45" s="198"/>
      <c r="C45" s="202"/>
      <c r="D45" s="223"/>
      <c r="E45" s="166" t="s">
        <v>94</v>
      </c>
      <c r="F45" s="27" t="s">
        <v>10</v>
      </c>
      <c r="G45" s="266">
        <f>996.56*2</f>
        <v>1993.12</v>
      </c>
      <c r="H45" s="114"/>
      <c r="I45" s="28"/>
      <c r="J45" s="18">
        <v>1</v>
      </c>
      <c r="K45" s="89">
        <f t="shared" si="23"/>
        <v>0</v>
      </c>
      <c r="L45" s="90"/>
      <c r="M45" s="90"/>
      <c r="N45" s="17">
        <f t="shared" si="22"/>
        <v>0</v>
      </c>
      <c r="O45" s="116"/>
      <c r="P45" s="117"/>
      <c r="Q45" s="162"/>
      <c r="R45" s="162"/>
      <c r="S45" s="162"/>
    </row>
    <row r="46" spans="2:19" ht="28.5" customHeight="1" x14ac:dyDescent="0.2">
      <c r="B46" s="198"/>
      <c r="C46" s="200" t="s">
        <v>97</v>
      </c>
      <c r="D46" s="200" t="s">
        <v>99</v>
      </c>
      <c r="E46" s="166" t="s">
        <v>88</v>
      </c>
      <c r="F46" s="27" t="s">
        <v>10</v>
      </c>
      <c r="G46" s="266">
        <f>101.58*2</f>
        <v>203.16</v>
      </c>
      <c r="H46" s="114"/>
      <c r="I46" s="28"/>
      <c r="J46" s="18">
        <v>1</v>
      </c>
      <c r="K46" s="89">
        <f t="shared" si="23"/>
        <v>0</v>
      </c>
      <c r="L46" s="90"/>
      <c r="M46" s="90"/>
      <c r="N46" s="17">
        <f t="shared" si="22"/>
        <v>0</v>
      </c>
      <c r="O46" s="116"/>
      <c r="P46" s="117"/>
      <c r="Q46" s="162"/>
      <c r="R46" s="162"/>
      <c r="S46" s="162"/>
    </row>
    <row r="47" spans="2:19" ht="34.5" customHeight="1" x14ac:dyDescent="0.2">
      <c r="B47" s="198"/>
      <c r="C47" s="201"/>
      <c r="D47" s="222"/>
      <c r="E47" s="166" t="s">
        <v>89</v>
      </c>
      <c r="F47" s="27" t="s">
        <v>10</v>
      </c>
      <c r="G47" s="266">
        <f>303.87*2</f>
        <v>607.74</v>
      </c>
      <c r="H47" s="114"/>
      <c r="I47" s="28"/>
      <c r="J47" s="18">
        <v>1</v>
      </c>
      <c r="K47" s="89">
        <f t="shared" si="23"/>
        <v>0</v>
      </c>
      <c r="L47" s="90"/>
      <c r="M47" s="90"/>
      <c r="N47" s="17">
        <f t="shared" si="22"/>
        <v>0</v>
      </c>
      <c r="O47" s="116"/>
      <c r="P47" s="117"/>
      <c r="Q47" s="162"/>
      <c r="R47" s="162"/>
      <c r="S47" s="162"/>
    </row>
    <row r="48" spans="2:19" ht="27" customHeight="1" x14ac:dyDescent="0.2">
      <c r="B48" s="198"/>
      <c r="C48" s="201"/>
      <c r="D48" s="222"/>
      <c r="E48" s="166" t="s">
        <v>90</v>
      </c>
      <c r="F48" s="27" t="s">
        <v>10</v>
      </c>
      <c r="G48" s="266">
        <f>1111.13*2</f>
        <v>2222.2600000000002</v>
      </c>
      <c r="H48" s="114"/>
      <c r="I48" s="28"/>
      <c r="J48" s="18">
        <v>1</v>
      </c>
      <c r="K48" s="89">
        <f t="shared" si="23"/>
        <v>0</v>
      </c>
      <c r="L48" s="90"/>
      <c r="M48" s="90"/>
      <c r="N48" s="17">
        <f t="shared" si="22"/>
        <v>0</v>
      </c>
      <c r="O48" s="116"/>
      <c r="P48" s="117"/>
      <c r="Q48" s="162"/>
      <c r="R48" s="162"/>
      <c r="S48" s="162"/>
    </row>
    <row r="49" spans="2:19" ht="28.5" x14ac:dyDescent="0.2">
      <c r="B49" s="198"/>
      <c r="C49" s="201"/>
      <c r="D49" s="222"/>
      <c r="E49" s="166" t="s">
        <v>91</v>
      </c>
      <c r="F49" s="27" t="s">
        <v>10</v>
      </c>
      <c r="G49" s="266">
        <f>1232.5*2</f>
        <v>2465</v>
      </c>
      <c r="H49" s="114"/>
      <c r="I49" s="28"/>
      <c r="J49" s="18">
        <v>1</v>
      </c>
      <c r="K49" s="89">
        <f t="shared" si="23"/>
        <v>0</v>
      </c>
      <c r="L49" s="90"/>
      <c r="M49" s="90"/>
      <c r="N49" s="17">
        <f t="shared" si="22"/>
        <v>0</v>
      </c>
      <c r="O49" s="116"/>
      <c r="P49" s="117"/>
      <c r="Q49" s="162"/>
      <c r="R49" s="162"/>
      <c r="S49" s="162"/>
    </row>
    <row r="50" spans="2:19" ht="24.75" customHeight="1" x14ac:dyDescent="0.2">
      <c r="B50" s="198"/>
      <c r="C50" s="201"/>
      <c r="D50" s="222"/>
      <c r="E50" s="166" t="s">
        <v>92</v>
      </c>
      <c r="F50" s="27" t="s">
        <v>10</v>
      </c>
      <c r="G50" s="266">
        <f>140.37*2</f>
        <v>280.74</v>
      </c>
      <c r="H50" s="114"/>
      <c r="I50" s="28"/>
      <c r="J50" s="18">
        <v>1</v>
      </c>
      <c r="K50" s="89">
        <f t="shared" si="23"/>
        <v>0</v>
      </c>
      <c r="L50" s="90"/>
      <c r="M50" s="90"/>
      <c r="N50" s="17">
        <f t="shared" si="22"/>
        <v>0</v>
      </c>
      <c r="O50" s="116"/>
      <c r="P50" s="117"/>
      <c r="Q50" s="162"/>
      <c r="R50" s="162"/>
      <c r="S50" s="162"/>
    </row>
    <row r="51" spans="2:19" ht="34.5" customHeight="1" x14ac:dyDescent="0.2">
      <c r="B51" s="198"/>
      <c r="C51" s="201"/>
      <c r="D51" s="222"/>
      <c r="E51" s="166" t="s">
        <v>34</v>
      </c>
      <c r="F51" s="27" t="s">
        <v>10</v>
      </c>
      <c r="G51" s="266">
        <f>350.99*2</f>
        <v>701.98</v>
      </c>
      <c r="H51" s="114"/>
      <c r="I51" s="28"/>
      <c r="J51" s="18">
        <v>1</v>
      </c>
      <c r="K51" s="89">
        <f t="shared" si="23"/>
        <v>0</v>
      </c>
      <c r="L51" s="90"/>
      <c r="M51" s="90"/>
      <c r="N51" s="17">
        <f t="shared" si="22"/>
        <v>0</v>
      </c>
      <c r="O51" s="116"/>
      <c r="P51" s="117"/>
      <c r="Q51" s="162"/>
      <c r="R51" s="162"/>
      <c r="S51" s="162"/>
    </row>
    <row r="52" spans="2:19" ht="25.5" customHeight="1" x14ac:dyDescent="0.2">
      <c r="B52" s="198"/>
      <c r="C52" s="201"/>
      <c r="D52" s="222"/>
      <c r="E52" s="166" t="s">
        <v>93</v>
      </c>
      <c r="F52" s="27" t="s">
        <v>10</v>
      </c>
      <c r="G52" s="266">
        <f>785.94*2</f>
        <v>1571.88</v>
      </c>
      <c r="H52" s="114"/>
      <c r="I52" s="28"/>
      <c r="J52" s="18">
        <v>1</v>
      </c>
      <c r="K52" s="89">
        <f t="shared" si="23"/>
        <v>0</v>
      </c>
      <c r="L52" s="90"/>
      <c r="M52" s="90"/>
      <c r="N52" s="17">
        <f t="shared" si="22"/>
        <v>0</v>
      </c>
      <c r="O52" s="116"/>
      <c r="P52" s="117"/>
      <c r="Q52" s="162"/>
      <c r="R52" s="162"/>
      <c r="S52" s="162"/>
    </row>
    <row r="53" spans="2:19" ht="28.5" x14ac:dyDescent="0.2">
      <c r="B53" s="199"/>
      <c r="C53" s="202"/>
      <c r="D53" s="223"/>
      <c r="E53" s="166" t="s">
        <v>94</v>
      </c>
      <c r="F53" s="27" t="s">
        <v>10</v>
      </c>
      <c r="G53" s="266">
        <f>996.56*2</f>
        <v>1993.12</v>
      </c>
      <c r="H53" s="114"/>
      <c r="I53" s="28"/>
      <c r="J53" s="18">
        <v>1</v>
      </c>
      <c r="K53" s="89">
        <f t="shared" si="23"/>
        <v>0</v>
      </c>
      <c r="L53" s="90"/>
      <c r="M53" s="90"/>
      <c r="N53" s="17">
        <f t="shared" si="22"/>
        <v>0</v>
      </c>
      <c r="O53" s="116"/>
      <c r="P53" s="117"/>
      <c r="Q53" s="162"/>
      <c r="R53" s="162"/>
      <c r="S53" s="162"/>
    </row>
    <row r="54" spans="2:19" ht="33.75" customHeight="1" x14ac:dyDescent="0.2">
      <c r="B54" s="203" t="s">
        <v>143</v>
      </c>
      <c r="C54" s="213" t="s">
        <v>28</v>
      </c>
      <c r="D54" s="200" t="s">
        <v>179</v>
      </c>
      <c r="E54" s="165" t="s">
        <v>29</v>
      </c>
      <c r="F54" s="27" t="s">
        <v>10</v>
      </c>
      <c r="G54" s="17">
        <v>620.1</v>
      </c>
      <c r="H54" s="114"/>
      <c r="I54" s="28"/>
      <c r="J54" s="18">
        <v>1</v>
      </c>
      <c r="K54" s="89">
        <f t="shared" si="23"/>
        <v>0</v>
      </c>
      <c r="L54" s="90"/>
      <c r="M54" s="90"/>
      <c r="N54" s="17">
        <f t="shared" si="22"/>
        <v>0</v>
      </c>
      <c r="O54" s="116"/>
      <c r="P54" s="117"/>
      <c r="Q54" s="162"/>
      <c r="R54" s="162"/>
      <c r="S54" s="162"/>
    </row>
    <row r="55" spans="2:19" ht="32.25" customHeight="1" x14ac:dyDescent="0.2">
      <c r="B55" s="203"/>
      <c r="C55" s="213"/>
      <c r="D55" s="201"/>
      <c r="E55" s="165" t="s">
        <v>30</v>
      </c>
      <c r="F55" s="27" t="s">
        <v>10</v>
      </c>
      <c r="G55" s="17">
        <v>615.08000000000004</v>
      </c>
      <c r="H55" s="114"/>
      <c r="I55" s="28"/>
      <c r="J55" s="18">
        <v>1</v>
      </c>
      <c r="K55" s="89">
        <f t="shared" si="23"/>
        <v>0</v>
      </c>
      <c r="L55" s="90"/>
      <c r="M55" s="90"/>
      <c r="N55" s="17">
        <f t="shared" si="22"/>
        <v>0</v>
      </c>
      <c r="O55" s="116"/>
      <c r="P55" s="117"/>
      <c r="Q55" s="162"/>
      <c r="R55" s="162"/>
      <c r="S55" s="162"/>
    </row>
    <row r="56" spans="2:19" ht="33.75" customHeight="1" x14ac:dyDescent="0.2">
      <c r="B56" s="203"/>
      <c r="C56" s="213"/>
      <c r="D56" s="201"/>
      <c r="E56" s="165" t="s">
        <v>31</v>
      </c>
      <c r="F56" s="27" t="s">
        <v>10</v>
      </c>
      <c r="G56" s="17">
        <v>832.26</v>
      </c>
      <c r="H56" s="114"/>
      <c r="I56" s="28"/>
      <c r="J56" s="18">
        <v>1</v>
      </c>
      <c r="K56" s="89">
        <f t="shared" si="23"/>
        <v>0</v>
      </c>
      <c r="L56" s="90"/>
      <c r="M56" s="90"/>
      <c r="N56" s="17">
        <f t="shared" si="22"/>
        <v>0</v>
      </c>
      <c r="O56" s="116"/>
      <c r="P56" s="117"/>
      <c r="Q56" s="162"/>
      <c r="R56" s="162"/>
      <c r="S56" s="162"/>
    </row>
    <row r="57" spans="2:19" ht="30.75" customHeight="1" x14ac:dyDescent="0.2">
      <c r="B57" s="203"/>
      <c r="C57" s="213" t="s">
        <v>32</v>
      </c>
      <c r="D57" s="200" t="s">
        <v>180</v>
      </c>
      <c r="E57" s="165" t="s">
        <v>29</v>
      </c>
      <c r="F57" s="27" t="s">
        <v>10</v>
      </c>
      <c r="G57" s="17">
        <v>620.1</v>
      </c>
      <c r="H57" s="114"/>
      <c r="I57" s="28"/>
      <c r="J57" s="18">
        <v>1</v>
      </c>
      <c r="K57" s="89">
        <f t="shared" si="23"/>
        <v>0</v>
      </c>
      <c r="L57" s="90"/>
      <c r="M57" s="90"/>
      <c r="N57" s="17">
        <f t="shared" si="22"/>
        <v>0</v>
      </c>
      <c r="O57" s="116"/>
      <c r="P57" s="117"/>
      <c r="Q57" s="162"/>
      <c r="R57" s="162"/>
      <c r="S57" s="162"/>
    </row>
    <row r="58" spans="2:19" ht="30" customHeight="1" x14ac:dyDescent="0.2">
      <c r="B58" s="203"/>
      <c r="C58" s="213"/>
      <c r="D58" s="201"/>
      <c r="E58" s="165" t="s">
        <v>30</v>
      </c>
      <c r="F58" s="27" t="s">
        <v>10</v>
      </c>
      <c r="G58" s="17">
        <v>615.08000000000004</v>
      </c>
      <c r="H58" s="114"/>
      <c r="I58" s="28"/>
      <c r="J58" s="18">
        <v>1</v>
      </c>
      <c r="K58" s="89">
        <f t="shared" si="23"/>
        <v>0</v>
      </c>
      <c r="L58" s="90"/>
      <c r="M58" s="90"/>
      <c r="N58" s="17">
        <f t="shared" si="22"/>
        <v>0</v>
      </c>
      <c r="O58" s="116"/>
      <c r="P58" s="117"/>
      <c r="Q58" s="162"/>
      <c r="R58" s="162"/>
      <c r="S58" s="162"/>
    </row>
    <row r="59" spans="2:19" ht="30.75" customHeight="1" x14ac:dyDescent="0.2">
      <c r="B59" s="203"/>
      <c r="C59" s="213"/>
      <c r="D59" s="201"/>
      <c r="E59" s="165" t="s">
        <v>31</v>
      </c>
      <c r="F59" s="27" t="s">
        <v>10</v>
      </c>
      <c r="G59" s="17">
        <v>832.26</v>
      </c>
      <c r="H59" s="114"/>
      <c r="I59" s="28"/>
      <c r="J59" s="18">
        <v>1</v>
      </c>
      <c r="K59" s="89">
        <f t="shared" si="23"/>
        <v>0</v>
      </c>
      <c r="L59" s="90"/>
      <c r="M59" s="90"/>
      <c r="N59" s="17">
        <f t="shared" si="22"/>
        <v>0</v>
      </c>
      <c r="O59" s="116"/>
      <c r="P59" s="117"/>
      <c r="Q59" s="162"/>
      <c r="R59" s="162"/>
      <c r="S59" s="162"/>
    </row>
    <row r="60" spans="2:19" ht="33.75" customHeight="1" x14ac:dyDescent="0.2">
      <c r="B60" s="203" t="s">
        <v>144</v>
      </c>
      <c r="C60" s="213" t="s">
        <v>28</v>
      </c>
      <c r="D60" s="200" t="s">
        <v>198</v>
      </c>
      <c r="E60" s="165" t="s">
        <v>33</v>
      </c>
      <c r="F60" s="27" t="s">
        <v>10</v>
      </c>
      <c r="G60" s="17">
        <v>136.63999999999999</v>
      </c>
      <c r="H60" s="114"/>
      <c r="I60" s="28"/>
      <c r="J60" s="18">
        <v>1</v>
      </c>
      <c r="K60" s="89">
        <f t="shared" si="23"/>
        <v>0</v>
      </c>
      <c r="L60" s="90"/>
      <c r="M60" s="90"/>
      <c r="N60" s="17">
        <f t="shared" si="22"/>
        <v>0</v>
      </c>
      <c r="O60" s="116"/>
      <c r="P60" s="117"/>
      <c r="Q60" s="162"/>
      <c r="R60" s="162"/>
      <c r="S60" s="162"/>
    </row>
    <row r="61" spans="2:19" ht="33" customHeight="1" x14ac:dyDescent="0.2">
      <c r="B61" s="203"/>
      <c r="C61" s="213"/>
      <c r="D61" s="201"/>
      <c r="E61" s="165" t="s">
        <v>34</v>
      </c>
      <c r="F61" s="27" t="s">
        <v>10</v>
      </c>
      <c r="G61" s="17">
        <v>184.88</v>
      </c>
      <c r="H61" s="114"/>
      <c r="I61" s="28"/>
      <c r="J61" s="18">
        <v>1</v>
      </c>
      <c r="K61" s="89">
        <f t="shared" si="23"/>
        <v>0</v>
      </c>
      <c r="L61" s="90"/>
      <c r="M61" s="90"/>
      <c r="N61" s="17">
        <f t="shared" si="22"/>
        <v>0</v>
      </c>
      <c r="O61" s="116"/>
      <c r="P61" s="117"/>
      <c r="Q61" s="162"/>
      <c r="R61" s="162"/>
      <c r="S61" s="162"/>
    </row>
    <row r="62" spans="2:19" ht="34.5" customHeight="1" x14ac:dyDescent="0.2">
      <c r="B62" s="203"/>
      <c r="C62" s="213"/>
      <c r="D62" s="201"/>
      <c r="E62" s="165" t="s">
        <v>35</v>
      </c>
      <c r="F62" s="27" t="s">
        <v>10</v>
      </c>
      <c r="G62" s="17">
        <v>1510.22</v>
      </c>
      <c r="H62" s="114"/>
      <c r="I62" s="28"/>
      <c r="J62" s="18">
        <v>1</v>
      </c>
      <c r="K62" s="89">
        <f t="shared" si="23"/>
        <v>0</v>
      </c>
      <c r="L62" s="90"/>
      <c r="M62" s="90"/>
      <c r="N62" s="17">
        <f t="shared" si="22"/>
        <v>0</v>
      </c>
      <c r="O62" s="116"/>
      <c r="P62" s="117"/>
      <c r="Q62" s="162"/>
      <c r="R62" s="162"/>
      <c r="S62" s="162"/>
    </row>
    <row r="63" spans="2:19" ht="31.5" customHeight="1" x14ac:dyDescent="0.2">
      <c r="B63" s="203"/>
      <c r="C63" s="213" t="s">
        <v>32</v>
      </c>
      <c r="D63" s="201"/>
      <c r="E63" s="165" t="s">
        <v>33</v>
      </c>
      <c r="F63" s="27" t="s">
        <v>10</v>
      </c>
      <c r="G63" s="17">
        <v>136.63999999999999</v>
      </c>
      <c r="H63" s="114"/>
      <c r="I63" s="28"/>
      <c r="J63" s="18">
        <v>1</v>
      </c>
      <c r="K63" s="89">
        <f t="shared" si="23"/>
        <v>0</v>
      </c>
      <c r="L63" s="90"/>
      <c r="M63" s="90"/>
      <c r="N63" s="17">
        <f t="shared" si="22"/>
        <v>0</v>
      </c>
      <c r="O63" s="116"/>
      <c r="P63" s="117"/>
      <c r="Q63" s="162"/>
      <c r="R63" s="162"/>
      <c r="S63" s="162"/>
    </row>
    <row r="64" spans="2:19" ht="33.75" customHeight="1" x14ac:dyDescent="0.2">
      <c r="B64" s="203"/>
      <c r="C64" s="213"/>
      <c r="D64" s="201"/>
      <c r="E64" s="165" t="s">
        <v>34</v>
      </c>
      <c r="F64" s="27" t="s">
        <v>10</v>
      </c>
      <c r="G64" s="17">
        <v>184.88</v>
      </c>
      <c r="H64" s="114"/>
      <c r="I64" s="28"/>
      <c r="J64" s="18">
        <v>1</v>
      </c>
      <c r="K64" s="89">
        <f t="shared" si="23"/>
        <v>0</v>
      </c>
      <c r="L64" s="90"/>
      <c r="M64" s="90"/>
      <c r="N64" s="17">
        <f t="shared" si="22"/>
        <v>0</v>
      </c>
      <c r="O64" s="116"/>
      <c r="P64" s="117"/>
      <c r="Q64" s="162"/>
      <c r="R64" s="162"/>
      <c r="S64" s="162"/>
    </row>
    <row r="65" spans="2:19" ht="30.75" customHeight="1" x14ac:dyDescent="0.2">
      <c r="B65" s="203"/>
      <c r="C65" s="213"/>
      <c r="D65" s="202"/>
      <c r="E65" s="165" t="s">
        <v>35</v>
      </c>
      <c r="F65" s="27" t="s">
        <v>10</v>
      </c>
      <c r="G65" s="17">
        <v>1510.22</v>
      </c>
      <c r="H65" s="114"/>
      <c r="I65" s="28"/>
      <c r="J65" s="18">
        <v>1</v>
      </c>
      <c r="K65" s="89">
        <f t="shared" si="23"/>
        <v>0</v>
      </c>
      <c r="L65" s="90"/>
      <c r="M65" s="90"/>
      <c r="N65" s="17">
        <f t="shared" si="22"/>
        <v>0</v>
      </c>
      <c r="O65" s="116"/>
      <c r="P65" s="117"/>
      <c r="Q65" s="162"/>
      <c r="R65" s="162"/>
      <c r="S65" s="162"/>
    </row>
    <row r="66" spans="2:19" ht="37.5" customHeight="1" x14ac:dyDescent="0.2">
      <c r="B66" s="203" t="s">
        <v>145</v>
      </c>
      <c r="C66" s="213" t="s">
        <v>100</v>
      </c>
      <c r="D66" s="200" t="s">
        <v>181</v>
      </c>
      <c r="E66" s="166" t="s">
        <v>102</v>
      </c>
      <c r="F66" s="166" t="s">
        <v>10</v>
      </c>
      <c r="G66" s="266">
        <f>156.64*2</f>
        <v>313.27999999999997</v>
      </c>
      <c r="H66" s="114"/>
      <c r="I66" s="28"/>
      <c r="J66" s="18">
        <v>1</v>
      </c>
      <c r="K66" s="89">
        <f t="shared" si="23"/>
        <v>0</v>
      </c>
      <c r="L66" s="90"/>
      <c r="M66" s="90"/>
      <c r="N66" s="17">
        <f t="shared" si="22"/>
        <v>0</v>
      </c>
      <c r="O66" s="116"/>
      <c r="P66" s="117"/>
      <c r="Q66" s="162"/>
      <c r="R66" s="162"/>
      <c r="S66" s="162"/>
    </row>
    <row r="67" spans="2:19" ht="36.75" customHeight="1" x14ac:dyDescent="0.2">
      <c r="B67" s="214"/>
      <c r="C67" s="213"/>
      <c r="D67" s="201"/>
      <c r="E67" s="166" t="s">
        <v>103</v>
      </c>
      <c r="F67" s="166" t="s">
        <v>10</v>
      </c>
      <c r="G67" s="266">
        <f>76*2</f>
        <v>152</v>
      </c>
      <c r="H67" s="114"/>
      <c r="I67" s="28"/>
      <c r="J67" s="18">
        <v>1</v>
      </c>
      <c r="K67" s="89">
        <f t="shared" si="23"/>
        <v>0</v>
      </c>
      <c r="L67" s="90"/>
      <c r="M67" s="90"/>
      <c r="N67" s="17">
        <f t="shared" si="22"/>
        <v>0</v>
      </c>
      <c r="O67" s="116"/>
      <c r="P67" s="117"/>
      <c r="Q67" s="162"/>
      <c r="R67" s="162"/>
      <c r="S67" s="162"/>
    </row>
    <row r="68" spans="2:19" ht="33" customHeight="1" x14ac:dyDescent="0.2">
      <c r="B68" s="214"/>
      <c r="C68" s="213"/>
      <c r="D68" s="201"/>
      <c r="E68" s="166" t="s">
        <v>104</v>
      </c>
      <c r="F68" s="166" t="s">
        <v>10</v>
      </c>
      <c r="G68" s="266">
        <f>109.25*2</f>
        <v>218.5</v>
      </c>
      <c r="H68" s="114"/>
      <c r="I68" s="28"/>
      <c r="J68" s="18">
        <v>1</v>
      </c>
      <c r="K68" s="89">
        <f t="shared" si="23"/>
        <v>0</v>
      </c>
      <c r="L68" s="90"/>
      <c r="M68" s="90"/>
      <c r="N68" s="17">
        <f t="shared" si="22"/>
        <v>0</v>
      </c>
      <c r="O68" s="116"/>
      <c r="P68" s="117"/>
      <c r="Q68" s="162"/>
      <c r="R68" s="162"/>
      <c r="S68" s="162"/>
    </row>
    <row r="69" spans="2:19" ht="28.5" x14ac:dyDescent="0.2">
      <c r="B69" s="214"/>
      <c r="C69" s="213"/>
      <c r="D69" s="201"/>
      <c r="E69" s="166" t="s">
        <v>105</v>
      </c>
      <c r="F69" s="166" t="s">
        <v>10</v>
      </c>
      <c r="G69" s="266">
        <f>214.1*2</f>
        <v>428.2</v>
      </c>
      <c r="H69" s="114"/>
      <c r="I69" s="28"/>
      <c r="J69" s="18">
        <v>1</v>
      </c>
      <c r="K69" s="89">
        <f t="shared" si="23"/>
        <v>0</v>
      </c>
      <c r="L69" s="90"/>
      <c r="M69" s="90"/>
      <c r="N69" s="17">
        <f t="shared" si="22"/>
        <v>0</v>
      </c>
      <c r="O69" s="116"/>
      <c r="P69" s="117"/>
      <c r="Q69" s="162"/>
      <c r="R69" s="162"/>
      <c r="S69" s="162"/>
    </row>
    <row r="70" spans="2:19" ht="34.5" customHeight="1" x14ac:dyDescent="0.2">
      <c r="B70" s="214"/>
      <c r="C70" s="213" t="s">
        <v>101</v>
      </c>
      <c r="D70" s="201"/>
      <c r="E70" s="166" t="s">
        <v>102</v>
      </c>
      <c r="F70" s="166" t="s">
        <v>10</v>
      </c>
      <c r="G70" s="266">
        <f>156.64*2</f>
        <v>313.27999999999997</v>
      </c>
      <c r="H70" s="114"/>
      <c r="I70" s="28"/>
      <c r="J70" s="18">
        <v>1</v>
      </c>
      <c r="K70" s="89">
        <f t="shared" si="23"/>
        <v>0</v>
      </c>
      <c r="L70" s="90"/>
      <c r="M70" s="90"/>
      <c r="N70" s="17">
        <f t="shared" si="22"/>
        <v>0</v>
      </c>
      <c r="O70" s="116"/>
      <c r="P70" s="117"/>
      <c r="Q70" s="162"/>
      <c r="R70" s="162"/>
      <c r="S70" s="162"/>
    </row>
    <row r="71" spans="2:19" ht="34.5" customHeight="1" x14ac:dyDescent="0.2">
      <c r="B71" s="214"/>
      <c r="C71" s="213"/>
      <c r="D71" s="201"/>
      <c r="E71" s="166" t="s">
        <v>103</v>
      </c>
      <c r="F71" s="166" t="s">
        <v>10</v>
      </c>
      <c r="G71" s="266">
        <f>76*2</f>
        <v>152</v>
      </c>
      <c r="H71" s="114"/>
      <c r="I71" s="28"/>
      <c r="J71" s="18">
        <v>1</v>
      </c>
      <c r="K71" s="89">
        <f t="shared" si="23"/>
        <v>0</v>
      </c>
      <c r="L71" s="90"/>
      <c r="M71" s="90"/>
      <c r="N71" s="17">
        <f t="shared" si="22"/>
        <v>0</v>
      </c>
      <c r="O71" s="116"/>
      <c r="P71" s="117"/>
      <c r="Q71" s="162"/>
      <c r="R71" s="162"/>
      <c r="S71" s="162"/>
    </row>
    <row r="72" spans="2:19" ht="28.5" x14ac:dyDescent="0.2">
      <c r="B72" s="214"/>
      <c r="C72" s="213"/>
      <c r="D72" s="201"/>
      <c r="E72" s="166" t="s">
        <v>104</v>
      </c>
      <c r="F72" s="166" t="s">
        <v>10</v>
      </c>
      <c r="G72" s="266">
        <f>109.25*2</f>
        <v>218.5</v>
      </c>
      <c r="H72" s="114"/>
      <c r="I72" s="28"/>
      <c r="J72" s="18">
        <v>1</v>
      </c>
      <c r="K72" s="89">
        <f t="shared" si="23"/>
        <v>0</v>
      </c>
      <c r="L72" s="90"/>
      <c r="M72" s="90"/>
      <c r="N72" s="17">
        <f t="shared" si="22"/>
        <v>0</v>
      </c>
      <c r="O72" s="116"/>
      <c r="P72" s="117"/>
      <c r="Q72" s="162"/>
      <c r="R72" s="162"/>
      <c r="S72" s="162"/>
    </row>
    <row r="73" spans="2:19" ht="28.5" x14ac:dyDescent="0.2">
      <c r="B73" s="214"/>
      <c r="C73" s="213"/>
      <c r="D73" s="202"/>
      <c r="E73" s="166" t="s">
        <v>105</v>
      </c>
      <c r="F73" s="166" t="s">
        <v>10</v>
      </c>
      <c r="G73" s="266">
        <f>214.1*2</f>
        <v>428.2</v>
      </c>
      <c r="H73" s="114"/>
      <c r="I73" s="28"/>
      <c r="J73" s="18">
        <v>1</v>
      </c>
      <c r="K73" s="89">
        <f t="shared" si="23"/>
        <v>0</v>
      </c>
      <c r="L73" s="90"/>
      <c r="M73" s="90"/>
      <c r="N73" s="17">
        <f t="shared" si="22"/>
        <v>0</v>
      </c>
      <c r="O73" s="116"/>
      <c r="P73" s="117"/>
      <c r="Q73" s="162"/>
      <c r="R73" s="162"/>
      <c r="S73" s="162"/>
    </row>
    <row r="74" spans="2:19" ht="32.25" customHeight="1" x14ac:dyDescent="0.2">
      <c r="B74" s="203" t="s">
        <v>146</v>
      </c>
      <c r="C74" s="211" t="s">
        <v>28</v>
      </c>
      <c r="D74" s="200" t="s">
        <v>182</v>
      </c>
      <c r="E74" s="165" t="s">
        <v>33</v>
      </c>
      <c r="F74" s="27" t="s">
        <v>10</v>
      </c>
      <c r="G74" s="17">
        <v>268.16000000000003</v>
      </c>
      <c r="H74" s="114"/>
      <c r="I74" s="28"/>
      <c r="J74" s="18">
        <v>1</v>
      </c>
      <c r="K74" s="89">
        <f t="shared" si="23"/>
        <v>0</v>
      </c>
      <c r="L74" s="90"/>
      <c r="M74" s="90"/>
      <c r="N74" s="17">
        <f t="shared" si="22"/>
        <v>0</v>
      </c>
      <c r="O74" s="116"/>
      <c r="P74" s="117"/>
      <c r="Q74" s="162"/>
      <c r="R74" s="162"/>
      <c r="S74" s="162"/>
    </row>
    <row r="75" spans="2:19" ht="31.5" customHeight="1" x14ac:dyDescent="0.2">
      <c r="B75" s="214"/>
      <c r="C75" s="215"/>
      <c r="D75" s="201"/>
      <c r="E75" s="165" t="s">
        <v>34</v>
      </c>
      <c r="F75" s="27" t="s">
        <v>10</v>
      </c>
      <c r="G75" s="17">
        <v>248.54</v>
      </c>
      <c r="H75" s="114"/>
      <c r="I75" s="28"/>
      <c r="J75" s="18">
        <v>1</v>
      </c>
      <c r="K75" s="89">
        <f t="shared" si="23"/>
        <v>0</v>
      </c>
      <c r="L75" s="90"/>
      <c r="M75" s="90"/>
      <c r="N75" s="17">
        <f t="shared" si="22"/>
        <v>0</v>
      </c>
      <c r="O75" s="116"/>
      <c r="P75" s="117"/>
      <c r="Q75" s="162"/>
      <c r="R75" s="162"/>
      <c r="S75" s="162"/>
    </row>
    <row r="76" spans="2:19" ht="28.5" x14ac:dyDescent="0.2">
      <c r="B76" s="214"/>
      <c r="C76" s="213" t="s">
        <v>32</v>
      </c>
      <c r="D76" s="201"/>
      <c r="E76" s="165" t="s">
        <v>33</v>
      </c>
      <c r="F76" s="27" t="s">
        <v>10</v>
      </c>
      <c r="G76" s="17">
        <v>268.16000000000003</v>
      </c>
      <c r="H76" s="114"/>
      <c r="I76" s="28"/>
      <c r="J76" s="18">
        <v>1</v>
      </c>
      <c r="K76" s="89">
        <f t="shared" si="23"/>
        <v>0</v>
      </c>
      <c r="L76" s="90"/>
      <c r="M76" s="90"/>
      <c r="N76" s="17">
        <f t="shared" si="22"/>
        <v>0</v>
      </c>
      <c r="O76" s="116"/>
      <c r="P76" s="117"/>
      <c r="Q76" s="162"/>
      <c r="R76" s="162"/>
      <c r="S76" s="162"/>
    </row>
    <row r="77" spans="2:19" ht="34.5" customHeight="1" x14ac:dyDescent="0.2">
      <c r="B77" s="214"/>
      <c r="C77" s="213"/>
      <c r="D77" s="202"/>
      <c r="E77" s="165" t="s">
        <v>34</v>
      </c>
      <c r="F77" s="27" t="s">
        <v>10</v>
      </c>
      <c r="G77" s="17">
        <v>248.54</v>
      </c>
      <c r="H77" s="114"/>
      <c r="I77" s="28"/>
      <c r="J77" s="18">
        <v>1</v>
      </c>
      <c r="K77" s="89">
        <f t="shared" si="23"/>
        <v>0</v>
      </c>
      <c r="L77" s="90"/>
      <c r="M77" s="90"/>
      <c r="N77" s="17">
        <f t="shared" si="22"/>
        <v>0</v>
      </c>
      <c r="O77" s="116"/>
      <c r="P77" s="117"/>
      <c r="Q77" s="162"/>
      <c r="R77" s="162"/>
      <c r="S77" s="162"/>
    </row>
    <row r="78" spans="2:19" ht="30" customHeight="1" x14ac:dyDescent="0.2">
      <c r="B78" s="204" t="s">
        <v>156</v>
      </c>
      <c r="C78" s="211" t="s">
        <v>108</v>
      </c>
      <c r="D78" s="200" t="s">
        <v>183</v>
      </c>
      <c r="E78" s="258" t="s">
        <v>106</v>
      </c>
      <c r="F78" s="258" t="s">
        <v>10</v>
      </c>
      <c r="G78" s="266">
        <f>1082.21*2</f>
        <v>2164.42</v>
      </c>
      <c r="H78" s="114"/>
      <c r="I78" s="28"/>
      <c r="J78" s="18">
        <v>1</v>
      </c>
      <c r="K78" s="89">
        <f t="shared" si="23"/>
        <v>0</v>
      </c>
      <c r="L78" s="90"/>
      <c r="M78" s="90"/>
      <c r="N78" s="17">
        <f>G78*H78*J78</f>
        <v>0</v>
      </c>
      <c r="O78" s="116"/>
      <c r="P78" s="117"/>
      <c r="Q78" s="162"/>
      <c r="R78" s="162"/>
      <c r="S78" s="162"/>
    </row>
    <row r="79" spans="2:19" ht="30" customHeight="1" x14ac:dyDescent="0.2">
      <c r="B79" s="196"/>
      <c r="C79" s="212"/>
      <c r="D79" s="201"/>
      <c r="E79" s="258" t="s">
        <v>107</v>
      </c>
      <c r="F79" s="258" t="s">
        <v>10</v>
      </c>
      <c r="G79" s="266">
        <f>1686*2</f>
        <v>3372</v>
      </c>
      <c r="H79" s="114"/>
      <c r="I79" s="28"/>
      <c r="J79" s="18">
        <v>1</v>
      </c>
      <c r="K79" s="89">
        <f t="shared" si="23"/>
        <v>0</v>
      </c>
      <c r="L79" s="90"/>
      <c r="M79" s="90"/>
      <c r="N79" s="17">
        <f t="shared" si="22"/>
        <v>0</v>
      </c>
      <c r="O79" s="116"/>
      <c r="P79" s="117"/>
      <c r="Q79" s="162"/>
      <c r="R79" s="162"/>
      <c r="S79" s="162"/>
    </row>
    <row r="80" spans="2:19" ht="34.5" customHeight="1" x14ac:dyDescent="0.2">
      <c r="B80" s="196"/>
      <c r="C80" s="267" t="s">
        <v>109</v>
      </c>
      <c r="D80" s="201"/>
      <c r="E80" s="258" t="s">
        <v>106</v>
      </c>
      <c r="F80" s="258" t="s">
        <v>10</v>
      </c>
      <c r="G80" s="266">
        <f>1082.21*2</f>
        <v>2164.42</v>
      </c>
      <c r="H80" s="114"/>
      <c r="I80" s="28"/>
      <c r="J80" s="18">
        <v>1</v>
      </c>
      <c r="K80" s="89">
        <f t="shared" si="23"/>
        <v>0</v>
      </c>
      <c r="L80" s="90"/>
      <c r="M80" s="90"/>
      <c r="N80" s="17">
        <f t="shared" si="22"/>
        <v>0</v>
      </c>
      <c r="O80" s="116"/>
      <c r="P80" s="117"/>
      <c r="Q80" s="162"/>
      <c r="R80" s="162"/>
      <c r="S80" s="162"/>
    </row>
    <row r="81" spans="2:19" ht="34.5" customHeight="1" x14ac:dyDescent="0.2">
      <c r="B81" s="205"/>
      <c r="C81" s="267"/>
      <c r="D81" s="202"/>
      <c r="E81" s="258" t="s">
        <v>107</v>
      </c>
      <c r="F81" s="258" t="s">
        <v>10</v>
      </c>
      <c r="G81" s="266">
        <f>1686*2</f>
        <v>3372</v>
      </c>
      <c r="H81" s="114"/>
      <c r="I81" s="28"/>
      <c r="J81" s="18">
        <v>1</v>
      </c>
      <c r="K81" s="89">
        <f t="shared" si="23"/>
        <v>0</v>
      </c>
      <c r="L81" s="90"/>
      <c r="M81" s="90"/>
      <c r="N81" s="17">
        <f>G81*H81*J81</f>
        <v>0</v>
      </c>
      <c r="O81" s="116"/>
      <c r="P81" s="117"/>
      <c r="Q81" s="162"/>
      <c r="R81" s="162"/>
      <c r="S81" s="162"/>
    </row>
    <row r="82" spans="2:19" ht="48" customHeight="1" x14ac:dyDescent="0.2">
      <c r="B82" s="203" t="s">
        <v>147</v>
      </c>
      <c r="C82" s="165" t="s">
        <v>28</v>
      </c>
      <c r="D82" s="213" t="s">
        <v>42</v>
      </c>
      <c r="E82" s="165" t="s">
        <v>45</v>
      </c>
      <c r="F82" s="27" t="s">
        <v>44</v>
      </c>
      <c r="G82" s="17">
        <v>0.14000000000000001</v>
      </c>
      <c r="H82" s="268">
        <f>(I82*3)/43560</f>
        <v>0</v>
      </c>
      <c r="I82" s="114"/>
      <c r="J82" s="18">
        <v>1</v>
      </c>
      <c r="K82" s="89">
        <f t="shared" si="23"/>
        <v>0</v>
      </c>
      <c r="L82" s="90"/>
      <c r="M82" s="90"/>
      <c r="N82" s="17">
        <f>G82*I82*J82</f>
        <v>0</v>
      </c>
      <c r="O82" s="116"/>
      <c r="P82" s="117"/>
      <c r="Q82" s="162"/>
      <c r="R82" s="162"/>
      <c r="S82" s="162"/>
    </row>
    <row r="83" spans="2:19" ht="48" customHeight="1" x14ac:dyDescent="0.2">
      <c r="B83" s="203"/>
      <c r="C83" s="165" t="s">
        <v>32</v>
      </c>
      <c r="D83" s="213"/>
      <c r="E83" s="165" t="s">
        <v>45</v>
      </c>
      <c r="F83" s="27" t="s">
        <v>44</v>
      </c>
      <c r="G83" s="17">
        <v>0.14000000000000001</v>
      </c>
      <c r="H83" s="268">
        <f>(I83*3)/43560</f>
        <v>0</v>
      </c>
      <c r="I83" s="114"/>
      <c r="J83" s="18">
        <v>1</v>
      </c>
      <c r="K83" s="89">
        <f t="shared" si="23"/>
        <v>0</v>
      </c>
      <c r="L83" s="90"/>
      <c r="M83" s="90"/>
      <c r="N83" s="17">
        <f>G83*I83*J83</f>
        <v>0</v>
      </c>
      <c r="O83" s="116"/>
      <c r="P83" s="117"/>
      <c r="Q83" s="162"/>
      <c r="R83" s="162"/>
      <c r="S83" s="162"/>
    </row>
    <row r="84" spans="2:19" ht="28.5" x14ac:dyDescent="0.2">
      <c r="B84" s="203" t="s">
        <v>148</v>
      </c>
      <c r="C84" s="213" t="s">
        <v>36</v>
      </c>
      <c r="D84" s="200" t="s">
        <v>184</v>
      </c>
      <c r="E84" s="165" t="s">
        <v>37</v>
      </c>
      <c r="F84" s="27" t="s">
        <v>10</v>
      </c>
      <c r="G84" s="17">
        <v>3481.4</v>
      </c>
      <c r="H84" s="114"/>
      <c r="I84" s="28"/>
      <c r="J84" s="18">
        <v>1</v>
      </c>
      <c r="K84" s="89">
        <f t="shared" si="23"/>
        <v>0</v>
      </c>
      <c r="L84" s="90"/>
      <c r="M84" s="90"/>
      <c r="N84" s="17">
        <f t="shared" ref="N84:N91" si="24">G84*H84*J84</f>
        <v>0</v>
      </c>
      <c r="O84" s="116"/>
      <c r="P84" s="117"/>
      <c r="Q84" s="162"/>
      <c r="R84" s="162"/>
      <c r="S84" s="162"/>
    </row>
    <row r="85" spans="2:19" ht="40.5" customHeight="1" x14ac:dyDescent="0.2">
      <c r="B85" s="203"/>
      <c r="C85" s="213"/>
      <c r="D85" s="201"/>
      <c r="E85" s="165" t="s">
        <v>38</v>
      </c>
      <c r="F85" s="27" t="s">
        <v>10</v>
      </c>
      <c r="G85" s="17">
        <v>40689.760000000002</v>
      </c>
      <c r="H85" s="114"/>
      <c r="I85" s="28"/>
      <c r="J85" s="18">
        <v>1</v>
      </c>
      <c r="K85" s="89">
        <f t="shared" si="23"/>
        <v>0</v>
      </c>
      <c r="L85" s="90"/>
      <c r="M85" s="90"/>
      <c r="N85" s="17">
        <f t="shared" si="24"/>
        <v>0</v>
      </c>
      <c r="O85" s="116"/>
      <c r="P85" s="117"/>
      <c r="Q85" s="162"/>
      <c r="R85" s="162"/>
      <c r="S85" s="162"/>
    </row>
    <row r="86" spans="2:19" ht="42.75" x14ac:dyDescent="0.2">
      <c r="B86" s="203"/>
      <c r="C86" s="213"/>
      <c r="D86" s="201"/>
      <c r="E86" s="165" t="s">
        <v>39</v>
      </c>
      <c r="F86" s="27" t="s">
        <v>10</v>
      </c>
      <c r="G86" s="17">
        <v>21662.22</v>
      </c>
      <c r="H86" s="114"/>
      <c r="I86" s="28"/>
      <c r="J86" s="18">
        <v>1</v>
      </c>
      <c r="K86" s="89">
        <f t="shared" si="23"/>
        <v>0</v>
      </c>
      <c r="L86" s="90"/>
      <c r="M86" s="90"/>
      <c r="N86" s="17">
        <f t="shared" si="24"/>
        <v>0</v>
      </c>
      <c r="O86" s="116"/>
      <c r="P86" s="117"/>
      <c r="Q86" s="162"/>
      <c r="R86" s="162"/>
      <c r="S86" s="162"/>
    </row>
    <row r="87" spans="2:19" ht="36.75" customHeight="1" x14ac:dyDescent="0.2">
      <c r="B87" s="203"/>
      <c r="C87" s="213"/>
      <c r="D87" s="201"/>
      <c r="E87" s="165" t="s">
        <v>40</v>
      </c>
      <c r="F87" s="27" t="s">
        <v>10</v>
      </c>
      <c r="G87" s="17">
        <v>4764.6000000000004</v>
      </c>
      <c r="H87" s="114"/>
      <c r="I87" s="28"/>
      <c r="J87" s="18">
        <v>1</v>
      </c>
      <c r="K87" s="89">
        <f t="shared" si="23"/>
        <v>0</v>
      </c>
      <c r="L87" s="90"/>
      <c r="M87" s="90"/>
      <c r="N87" s="17">
        <f t="shared" si="24"/>
        <v>0</v>
      </c>
      <c r="O87" s="116"/>
      <c r="P87" s="117"/>
      <c r="Q87" s="162"/>
      <c r="R87" s="162"/>
      <c r="S87" s="162"/>
    </row>
    <row r="88" spans="2:19" ht="28.5" x14ac:dyDescent="0.2">
      <c r="B88" s="203"/>
      <c r="C88" s="213" t="s">
        <v>41</v>
      </c>
      <c r="D88" s="201"/>
      <c r="E88" s="165" t="s">
        <v>37</v>
      </c>
      <c r="F88" s="27" t="s">
        <v>10</v>
      </c>
      <c r="G88" s="17">
        <v>3481.4</v>
      </c>
      <c r="H88" s="114"/>
      <c r="I88" s="28"/>
      <c r="J88" s="18">
        <v>1</v>
      </c>
      <c r="K88" s="89">
        <f t="shared" si="23"/>
        <v>0</v>
      </c>
      <c r="L88" s="90"/>
      <c r="M88" s="90"/>
      <c r="N88" s="17">
        <f t="shared" si="24"/>
        <v>0</v>
      </c>
      <c r="O88" s="116"/>
      <c r="P88" s="117"/>
      <c r="Q88" s="162"/>
      <c r="R88" s="162"/>
      <c r="S88" s="162"/>
    </row>
    <row r="89" spans="2:19" ht="32.25" customHeight="1" x14ac:dyDescent="0.2">
      <c r="B89" s="203"/>
      <c r="C89" s="213"/>
      <c r="D89" s="201"/>
      <c r="E89" s="165" t="s">
        <v>38</v>
      </c>
      <c r="F89" s="27" t="s">
        <v>10</v>
      </c>
      <c r="G89" s="17">
        <v>40689.760000000002</v>
      </c>
      <c r="H89" s="114"/>
      <c r="I89" s="28"/>
      <c r="J89" s="18">
        <v>1</v>
      </c>
      <c r="K89" s="89">
        <f t="shared" si="23"/>
        <v>0</v>
      </c>
      <c r="L89" s="90"/>
      <c r="M89" s="90"/>
      <c r="N89" s="17">
        <f t="shared" si="24"/>
        <v>0</v>
      </c>
      <c r="O89" s="116"/>
      <c r="P89" s="117"/>
      <c r="Q89" s="162"/>
      <c r="R89" s="162"/>
      <c r="S89" s="162"/>
    </row>
    <row r="90" spans="2:19" ht="44.25" customHeight="1" x14ac:dyDescent="0.2">
      <c r="B90" s="203"/>
      <c r="C90" s="213"/>
      <c r="D90" s="201"/>
      <c r="E90" s="165" t="s">
        <v>39</v>
      </c>
      <c r="F90" s="27" t="s">
        <v>10</v>
      </c>
      <c r="G90" s="17">
        <v>21662.22</v>
      </c>
      <c r="H90" s="114"/>
      <c r="I90" s="28"/>
      <c r="J90" s="18">
        <v>1</v>
      </c>
      <c r="K90" s="89">
        <f t="shared" si="23"/>
        <v>0</v>
      </c>
      <c r="L90" s="90"/>
      <c r="M90" s="90"/>
      <c r="N90" s="17">
        <f t="shared" si="24"/>
        <v>0</v>
      </c>
      <c r="O90" s="116"/>
      <c r="P90" s="117"/>
      <c r="Q90" s="162"/>
      <c r="R90" s="162"/>
      <c r="S90" s="162"/>
    </row>
    <row r="91" spans="2:19" ht="36" customHeight="1" x14ac:dyDescent="0.2">
      <c r="B91" s="203"/>
      <c r="C91" s="213"/>
      <c r="D91" s="202"/>
      <c r="E91" s="165" t="s">
        <v>40</v>
      </c>
      <c r="F91" s="27" t="s">
        <v>10</v>
      </c>
      <c r="G91" s="17">
        <v>4764.6000000000004</v>
      </c>
      <c r="H91" s="114"/>
      <c r="I91" s="28"/>
      <c r="J91" s="18">
        <v>1</v>
      </c>
      <c r="K91" s="89">
        <f t="shared" si="23"/>
        <v>0</v>
      </c>
      <c r="L91" s="90"/>
      <c r="M91" s="90"/>
      <c r="N91" s="17">
        <f t="shared" si="24"/>
        <v>0</v>
      </c>
      <c r="O91" s="116"/>
      <c r="P91" s="117"/>
      <c r="Q91" s="162"/>
      <c r="R91" s="162"/>
      <c r="S91" s="162"/>
    </row>
    <row r="92" spans="2:19" ht="45.75" customHeight="1" x14ac:dyDescent="0.2">
      <c r="B92" s="203" t="s">
        <v>149</v>
      </c>
      <c r="C92" s="165" t="s">
        <v>28</v>
      </c>
      <c r="D92" s="178" t="s">
        <v>42</v>
      </c>
      <c r="E92" s="165" t="s">
        <v>43</v>
      </c>
      <c r="F92" s="27" t="s">
        <v>44</v>
      </c>
      <c r="G92" s="17">
        <v>0.02</v>
      </c>
      <c r="H92" s="268">
        <f>(I92*3)/43560</f>
        <v>0</v>
      </c>
      <c r="I92" s="114"/>
      <c r="J92" s="18">
        <v>1</v>
      </c>
      <c r="K92" s="89">
        <f t="shared" si="23"/>
        <v>0</v>
      </c>
      <c r="L92" s="90"/>
      <c r="M92" s="90"/>
      <c r="N92" s="17">
        <f>G92*I92*J92</f>
        <v>0</v>
      </c>
      <c r="O92" s="116"/>
      <c r="P92" s="117"/>
      <c r="Q92" s="162"/>
      <c r="R92" s="162"/>
      <c r="S92" s="162"/>
    </row>
    <row r="93" spans="2:19" ht="46.5" customHeight="1" x14ac:dyDescent="0.2">
      <c r="B93" s="203"/>
      <c r="C93" s="165" t="s">
        <v>32</v>
      </c>
      <c r="D93" s="178"/>
      <c r="E93" s="165" t="s">
        <v>43</v>
      </c>
      <c r="F93" s="27" t="s">
        <v>44</v>
      </c>
      <c r="G93" s="17">
        <v>0.02</v>
      </c>
      <c r="H93" s="268">
        <f>(I93*3)/43560</f>
        <v>0</v>
      </c>
      <c r="I93" s="114"/>
      <c r="J93" s="18">
        <v>1</v>
      </c>
      <c r="K93" s="89">
        <f t="shared" si="23"/>
        <v>0</v>
      </c>
      <c r="L93" s="90"/>
      <c r="M93" s="90"/>
      <c r="N93" s="17">
        <f>G93*I93*J93</f>
        <v>0</v>
      </c>
      <c r="O93" s="116"/>
      <c r="P93" s="117"/>
      <c r="Q93" s="162"/>
      <c r="R93" s="162"/>
      <c r="S93" s="162"/>
    </row>
    <row r="94" spans="2:19" ht="24.75" customHeight="1" thickBot="1" x14ac:dyDescent="0.25">
      <c r="B94" s="29"/>
      <c r="C94" s="30"/>
      <c r="D94" s="30"/>
      <c r="E94" s="30"/>
      <c r="F94" s="30"/>
      <c r="G94" s="30"/>
      <c r="H94" s="206" t="s">
        <v>26</v>
      </c>
      <c r="I94" s="206"/>
      <c r="J94" s="207"/>
      <c r="K94" s="107">
        <f t="shared" ref="K94:P94" si="25">SUM(K38:K93)</f>
        <v>0</v>
      </c>
      <c r="L94" s="107">
        <f t="shared" si="25"/>
        <v>0</v>
      </c>
      <c r="M94" s="107">
        <f t="shared" si="25"/>
        <v>0</v>
      </c>
      <c r="N94" s="31">
        <f t="shared" si="25"/>
        <v>0</v>
      </c>
      <c r="O94" s="32">
        <f t="shared" si="25"/>
        <v>0</v>
      </c>
      <c r="P94" s="33">
        <f t="shared" si="25"/>
        <v>0</v>
      </c>
      <c r="Q94" s="162"/>
      <c r="R94" s="162"/>
      <c r="S94" s="162"/>
    </row>
    <row r="95" spans="2:19" s="19" customFormat="1" ht="12.95" customHeight="1" thickTop="1" thickBot="1" x14ac:dyDescent="0.25">
      <c r="B95" s="315"/>
      <c r="C95" s="315"/>
      <c r="D95" s="315"/>
      <c r="E95" s="315"/>
      <c r="F95" s="315"/>
      <c r="G95" s="315"/>
      <c r="H95" s="316"/>
      <c r="I95" s="316"/>
      <c r="J95" s="317"/>
      <c r="K95" s="318"/>
      <c r="L95" s="318"/>
      <c r="M95" s="318"/>
      <c r="N95" s="317"/>
      <c r="O95" s="319"/>
      <c r="P95" s="314"/>
      <c r="Q95" s="162"/>
      <c r="R95" s="162"/>
      <c r="S95" s="162"/>
    </row>
    <row r="96" spans="2:19" ht="24.95" customHeight="1" thickTop="1" x14ac:dyDescent="0.2">
      <c r="B96" s="208" t="s">
        <v>110</v>
      </c>
      <c r="C96" s="209"/>
      <c r="D96" s="209"/>
      <c r="E96" s="209"/>
      <c r="F96" s="209"/>
      <c r="G96" s="209"/>
      <c r="H96" s="209"/>
      <c r="I96" s="209"/>
      <c r="J96" s="210"/>
      <c r="K96" s="93"/>
      <c r="L96" s="93"/>
      <c r="M96" s="93"/>
      <c r="N96" s="271"/>
      <c r="O96" s="272"/>
      <c r="P96" s="273"/>
      <c r="Q96" s="162"/>
      <c r="R96" s="162"/>
      <c r="S96" s="162"/>
    </row>
    <row r="97" spans="2:19" ht="47.25" customHeight="1" x14ac:dyDescent="0.2">
      <c r="B97" s="34" t="s">
        <v>1</v>
      </c>
      <c r="C97" s="35" t="s">
        <v>2</v>
      </c>
      <c r="D97" s="35" t="s">
        <v>3</v>
      </c>
      <c r="E97" s="36" t="s">
        <v>4</v>
      </c>
      <c r="F97" s="36" t="s">
        <v>5</v>
      </c>
      <c r="G97" s="37" t="s">
        <v>6</v>
      </c>
      <c r="H97" s="38" t="s">
        <v>7</v>
      </c>
      <c r="I97" s="36" t="s">
        <v>117</v>
      </c>
      <c r="J97" s="36" t="s">
        <v>164</v>
      </c>
      <c r="K97" s="94" t="s">
        <v>161</v>
      </c>
      <c r="L97" s="94" t="s">
        <v>162</v>
      </c>
      <c r="M97" s="94" t="s">
        <v>163</v>
      </c>
      <c r="N97" s="39" t="s">
        <v>80</v>
      </c>
      <c r="O97" s="40" t="s">
        <v>8</v>
      </c>
      <c r="P97" s="274" t="s">
        <v>77</v>
      </c>
      <c r="Q97" s="162"/>
      <c r="R97" s="162"/>
      <c r="S97" s="162"/>
    </row>
    <row r="98" spans="2:19" ht="47.25" customHeight="1" x14ac:dyDescent="0.2">
      <c r="B98" s="167" t="s">
        <v>160</v>
      </c>
      <c r="C98" s="166" t="s">
        <v>282</v>
      </c>
      <c r="D98" s="166" t="s">
        <v>168</v>
      </c>
      <c r="E98" s="275" t="s">
        <v>167</v>
      </c>
      <c r="F98" s="165" t="s">
        <v>10</v>
      </c>
      <c r="G98" s="119">
        <v>33.26</v>
      </c>
      <c r="H98" s="320"/>
      <c r="I98" s="276"/>
      <c r="J98" s="41">
        <v>1</v>
      </c>
      <c r="K98" s="89">
        <f>+N98/J98</f>
        <v>0</v>
      </c>
      <c r="L98" s="90"/>
      <c r="M98" s="90"/>
      <c r="N98" s="42">
        <f>G98*H98*J98</f>
        <v>0</v>
      </c>
      <c r="O98" s="116"/>
      <c r="P98" s="117"/>
      <c r="Q98" s="162"/>
      <c r="R98" s="162"/>
      <c r="S98" s="162"/>
    </row>
    <row r="99" spans="2:19" ht="50.1" customHeight="1" x14ac:dyDescent="0.2">
      <c r="B99" s="203" t="s">
        <v>150</v>
      </c>
      <c r="C99" s="166" t="s">
        <v>46</v>
      </c>
      <c r="D99" s="178" t="s">
        <v>47</v>
      </c>
      <c r="E99" s="166" t="s">
        <v>48</v>
      </c>
      <c r="F99" s="166" t="s">
        <v>44</v>
      </c>
      <c r="G99" s="43">
        <v>8.58</v>
      </c>
      <c r="H99" s="277">
        <f>(I99*8)/43560</f>
        <v>0</v>
      </c>
      <c r="I99" s="113"/>
      <c r="J99" s="41">
        <v>1</v>
      </c>
      <c r="K99" s="89">
        <f t="shared" ref="K99:K125" si="26">+N99/J99</f>
        <v>0</v>
      </c>
      <c r="L99" s="90"/>
      <c r="M99" s="90"/>
      <c r="N99" s="42">
        <f t="shared" ref="N99:N105" si="27">G99*I99*J99</f>
        <v>0</v>
      </c>
      <c r="O99" s="116"/>
      <c r="P99" s="117"/>
      <c r="Q99" s="162"/>
      <c r="R99" s="162"/>
      <c r="S99" s="162"/>
    </row>
    <row r="100" spans="2:19" ht="50.1" customHeight="1" x14ac:dyDescent="0.2">
      <c r="B100" s="203"/>
      <c r="C100" s="166" t="s">
        <v>49</v>
      </c>
      <c r="D100" s="178"/>
      <c r="E100" s="166" t="s">
        <v>48</v>
      </c>
      <c r="F100" s="166" t="s">
        <v>44</v>
      </c>
      <c r="G100" s="43">
        <v>8.58</v>
      </c>
      <c r="H100" s="277">
        <f>(I100*8)/43560</f>
        <v>0</v>
      </c>
      <c r="I100" s="113"/>
      <c r="J100" s="41">
        <v>1</v>
      </c>
      <c r="K100" s="89">
        <f t="shared" si="26"/>
        <v>0</v>
      </c>
      <c r="L100" s="90"/>
      <c r="M100" s="90"/>
      <c r="N100" s="42">
        <f t="shared" si="27"/>
        <v>0</v>
      </c>
      <c r="O100" s="116"/>
      <c r="P100" s="117"/>
      <c r="Q100" s="162"/>
      <c r="R100" s="162"/>
      <c r="S100" s="162"/>
    </row>
    <row r="101" spans="2:19" ht="24.75" customHeight="1" x14ac:dyDescent="0.2">
      <c r="B101" s="204" t="s">
        <v>151</v>
      </c>
      <c r="C101" s="200" t="s">
        <v>282</v>
      </c>
      <c r="D101" s="200" t="s">
        <v>189</v>
      </c>
      <c r="E101" s="166" t="s">
        <v>111</v>
      </c>
      <c r="F101" s="166" t="s">
        <v>112</v>
      </c>
      <c r="G101" s="266">
        <f>2.6*2</f>
        <v>5.2</v>
      </c>
      <c r="H101" s="278">
        <f>I101/200</f>
        <v>0</v>
      </c>
      <c r="I101" s="113"/>
      <c r="J101" s="41">
        <v>1</v>
      </c>
      <c r="K101" s="89">
        <f t="shared" si="26"/>
        <v>0</v>
      </c>
      <c r="L101" s="90"/>
      <c r="M101" s="90"/>
      <c r="N101" s="42">
        <f>G101*I101*J101</f>
        <v>0</v>
      </c>
      <c r="O101" s="116"/>
      <c r="P101" s="117"/>
      <c r="Q101" s="162"/>
      <c r="R101" s="162"/>
      <c r="S101" s="162"/>
    </row>
    <row r="102" spans="2:19" ht="24.75" customHeight="1" x14ac:dyDescent="0.2">
      <c r="B102" s="196"/>
      <c r="C102" s="201"/>
      <c r="D102" s="201"/>
      <c r="E102" s="166" t="s">
        <v>113</v>
      </c>
      <c r="F102" s="166" t="s">
        <v>112</v>
      </c>
      <c r="G102" s="266">
        <f>4.93*2</f>
        <v>9.86</v>
      </c>
      <c r="H102" s="278">
        <f t="shared" ref="H102:H105" si="28">I102/200</f>
        <v>0</v>
      </c>
      <c r="I102" s="113"/>
      <c r="J102" s="41">
        <v>1</v>
      </c>
      <c r="K102" s="89">
        <f t="shared" si="26"/>
        <v>0</v>
      </c>
      <c r="L102" s="90"/>
      <c r="M102" s="90"/>
      <c r="N102" s="42">
        <f t="shared" si="27"/>
        <v>0</v>
      </c>
      <c r="O102" s="116"/>
      <c r="P102" s="117"/>
      <c r="Q102" s="162"/>
      <c r="R102" s="162"/>
      <c r="S102" s="162"/>
    </row>
    <row r="103" spans="2:19" ht="24.75" customHeight="1" x14ac:dyDescent="0.2">
      <c r="B103" s="196"/>
      <c r="C103" s="201"/>
      <c r="D103" s="201"/>
      <c r="E103" s="166" t="s">
        <v>114</v>
      </c>
      <c r="F103" s="166" t="s">
        <v>112</v>
      </c>
      <c r="G103" s="266">
        <f>4.93*2</f>
        <v>9.86</v>
      </c>
      <c r="H103" s="278">
        <f t="shared" si="28"/>
        <v>0</v>
      </c>
      <c r="I103" s="113"/>
      <c r="J103" s="41">
        <v>1</v>
      </c>
      <c r="K103" s="89">
        <f t="shared" si="26"/>
        <v>0</v>
      </c>
      <c r="L103" s="90"/>
      <c r="M103" s="90"/>
      <c r="N103" s="42">
        <f t="shared" si="27"/>
        <v>0</v>
      </c>
      <c r="O103" s="116"/>
      <c r="P103" s="117"/>
      <c r="Q103" s="162"/>
      <c r="R103" s="162"/>
      <c r="S103" s="162"/>
    </row>
    <row r="104" spans="2:19" ht="24.75" customHeight="1" x14ac:dyDescent="0.2">
      <c r="B104" s="196"/>
      <c r="C104" s="201"/>
      <c r="D104" s="201"/>
      <c r="E104" s="166" t="s">
        <v>115</v>
      </c>
      <c r="F104" s="166" t="s">
        <v>112</v>
      </c>
      <c r="G104" s="266">
        <f>3.87*2</f>
        <v>7.74</v>
      </c>
      <c r="H104" s="278">
        <f t="shared" si="28"/>
        <v>0</v>
      </c>
      <c r="I104" s="113"/>
      <c r="J104" s="41">
        <v>1</v>
      </c>
      <c r="K104" s="89">
        <f t="shared" si="26"/>
        <v>0</v>
      </c>
      <c r="L104" s="90"/>
      <c r="M104" s="90"/>
      <c r="N104" s="42">
        <f t="shared" si="27"/>
        <v>0</v>
      </c>
      <c r="O104" s="116"/>
      <c r="P104" s="117"/>
      <c r="Q104" s="162"/>
      <c r="R104" s="162"/>
      <c r="S104" s="162"/>
    </row>
    <row r="105" spans="2:19" ht="23.25" customHeight="1" x14ac:dyDescent="0.2">
      <c r="B105" s="205"/>
      <c r="C105" s="202"/>
      <c r="D105" s="202"/>
      <c r="E105" s="166" t="s">
        <v>116</v>
      </c>
      <c r="F105" s="166" t="s">
        <v>112</v>
      </c>
      <c r="G105" s="266">
        <f>3.87*2</f>
        <v>7.74</v>
      </c>
      <c r="H105" s="278">
        <f t="shared" si="28"/>
        <v>0</v>
      </c>
      <c r="I105" s="113"/>
      <c r="J105" s="41">
        <v>1</v>
      </c>
      <c r="K105" s="89">
        <f t="shared" si="26"/>
        <v>0</v>
      </c>
      <c r="L105" s="90"/>
      <c r="M105" s="90"/>
      <c r="N105" s="42">
        <f t="shared" si="27"/>
        <v>0</v>
      </c>
      <c r="O105" s="116"/>
      <c r="P105" s="117"/>
      <c r="Q105" s="162"/>
      <c r="R105" s="162"/>
      <c r="S105" s="162"/>
    </row>
    <row r="106" spans="2:19" ht="30" customHeight="1" x14ac:dyDescent="0.2">
      <c r="B106" s="190" t="s">
        <v>155</v>
      </c>
      <c r="C106" s="178" t="s">
        <v>50</v>
      </c>
      <c r="D106" s="178" t="s">
        <v>72</v>
      </c>
      <c r="E106" s="166" t="s">
        <v>51</v>
      </c>
      <c r="F106" s="166" t="s">
        <v>10</v>
      </c>
      <c r="G106" s="43">
        <v>2367</v>
      </c>
      <c r="H106" s="113"/>
      <c r="I106" s="279"/>
      <c r="J106" s="41">
        <v>1</v>
      </c>
      <c r="K106" s="89">
        <f t="shared" si="26"/>
        <v>0</v>
      </c>
      <c r="L106" s="90"/>
      <c r="M106" s="90"/>
      <c r="N106" s="42">
        <f>G106*H106*J106</f>
        <v>0</v>
      </c>
      <c r="O106" s="116"/>
      <c r="P106" s="117"/>
      <c r="Q106" s="162"/>
      <c r="R106" s="162"/>
      <c r="S106" s="162"/>
    </row>
    <row r="107" spans="2:19" ht="30" customHeight="1" x14ac:dyDescent="0.2">
      <c r="B107" s="190"/>
      <c r="C107" s="178"/>
      <c r="D107" s="178"/>
      <c r="E107" s="166" t="s">
        <v>52</v>
      </c>
      <c r="F107" s="166" t="s">
        <v>10</v>
      </c>
      <c r="G107" s="43">
        <v>2223.16</v>
      </c>
      <c r="H107" s="113"/>
      <c r="I107" s="279"/>
      <c r="J107" s="41">
        <v>1</v>
      </c>
      <c r="K107" s="89">
        <f t="shared" si="26"/>
        <v>0</v>
      </c>
      <c r="L107" s="90"/>
      <c r="M107" s="90"/>
      <c r="N107" s="42">
        <f t="shared" ref="N107:N118" si="29">G107*H107*J107</f>
        <v>0</v>
      </c>
      <c r="O107" s="116"/>
      <c r="P107" s="117"/>
      <c r="Q107" s="162"/>
      <c r="R107" s="162"/>
      <c r="S107" s="162"/>
    </row>
    <row r="108" spans="2:19" ht="30" customHeight="1" x14ac:dyDescent="0.2">
      <c r="B108" s="190"/>
      <c r="C108" s="178"/>
      <c r="D108" s="178"/>
      <c r="E108" s="166" t="s">
        <v>53</v>
      </c>
      <c r="F108" s="166" t="s">
        <v>10</v>
      </c>
      <c r="G108" s="43">
        <v>2784.48</v>
      </c>
      <c r="H108" s="113"/>
      <c r="I108" s="279"/>
      <c r="J108" s="41">
        <v>1</v>
      </c>
      <c r="K108" s="89">
        <f t="shared" si="26"/>
        <v>0</v>
      </c>
      <c r="L108" s="90"/>
      <c r="M108" s="90"/>
      <c r="N108" s="42">
        <f t="shared" si="29"/>
        <v>0</v>
      </c>
      <c r="O108" s="116"/>
      <c r="P108" s="117"/>
      <c r="Q108" s="162"/>
      <c r="R108" s="162"/>
      <c r="S108" s="162"/>
    </row>
    <row r="109" spans="2:19" ht="30" customHeight="1" x14ac:dyDescent="0.2">
      <c r="B109" s="190"/>
      <c r="C109" s="178"/>
      <c r="D109" s="178"/>
      <c r="E109" s="166" t="s">
        <v>54</v>
      </c>
      <c r="F109" s="166" t="s">
        <v>10</v>
      </c>
      <c r="G109" s="43">
        <v>7183.68</v>
      </c>
      <c r="H109" s="113"/>
      <c r="I109" s="279"/>
      <c r="J109" s="41">
        <v>1</v>
      </c>
      <c r="K109" s="89">
        <f t="shared" si="26"/>
        <v>0</v>
      </c>
      <c r="L109" s="90"/>
      <c r="M109" s="90"/>
      <c r="N109" s="42">
        <f t="shared" si="29"/>
        <v>0</v>
      </c>
      <c r="O109" s="116"/>
      <c r="P109" s="117"/>
      <c r="Q109" s="162"/>
      <c r="R109" s="162"/>
      <c r="S109" s="162"/>
    </row>
    <row r="110" spans="2:19" ht="30" customHeight="1" x14ac:dyDescent="0.2">
      <c r="B110" s="190"/>
      <c r="C110" s="178"/>
      <c r="D110" s="178"/>
      <c r="E110" s="166" t="s">
        <v>55</v>
      </c>
      <c r="F110" s="166" t="s">
        <v>10</v>
      </c>
      <c r="G110" s="43">
        <v>3749.36</v>
      </c>
      <c r="H110" s="113"/>
      <c r="I110" s="279"/>
      <c r="J110" s="41">
        <v>1</v>
      </c>
      <c r="K110" s="89">
        <f t="shared" si="26"/>
        <v>0</v>
      </c>
      <c r="L110" s="90"/>
      <c r="M110" s="90"/>
      <c r="N110" s="42">
        <f t="shared" si="29"/>
        <v>0</v>
      </c>
      <c r="O110" s="116"/>
      <c r="P110" s="117"/>
      <c r="Q110" s="162"/>
      <c r="R110" s="162"/>
      <c r="S110" s="162"/>
    </row>
    <row r="111" spans="2:19" ht="30" customHeight="1" x14ac:dyDescent="0.2">
      <c r="B111" s="190"/>
      <c r="C111" s="178"/>
      <c r="D111" s="178"/>
      <c r="E111" s="166" t="s">
        <v>56</v>
      </c>
      <c r="F111" s="166" t="s">
        <v>10</v>
      </c>
      <c r="G111" s="43">
        <v>3238.12</v>
      </c>
      <c r="H111" s="113"/>
      <c r="I111" s="279"/>
      <c r="J111" s="41">
        <v>1</v>
      </c>
      <c r="K111" s="89">
        <f t="shared" si="26"/>
        <v>0</v>
      </c>
      <c r="L111" s="90"/>
      <c r="M111" s="90"/>
      <c r="N111" s="42">
        <f t="shared" si="29"/>
        <v>0</v>
      </c>
      <c r="O111" s="116"/>
      <c r="P111" s="117"/>
      <c r="Q111" s="162"/>
      <c r="R111" s="162"/>
      <c r="S111" s="162"/>
    </row>
    <row r="112" spans="2:19" ht="30" customHeight="1" x14ac:dyDescent="0.2">
      <c r="B112" s="190"/>
      <c r="C112" s="178"/>
      <c r="D112" s="178"/>
      <c r="E112" s="166" t="s">
        <v>57</v>
      </c>
      <c r="F112" s="166" t="s">
        <v>10</v>
      </c>
      <c r="G112" s="43">
        <v>9427.3799999999992</v>
      </c>
      <c r="H112" s="113"/>
      <c r="I112" s="279"/>
      <c r="J112" s="41">
        <v>1</v>
      </c>
      <c r="K112" s="89">
        <f t="shared" si="26"/>
        <v>0</v>
      </c>
      <c r="L112" s="90"/>
      <c r="M112" s="90"/>
      <c r="N112" s="42">
        <f t="shared" si="29"/>
        <v>0</v>
      </c>
      <c r="O112" s="116"/>
      <c r="P112" s="117"/>
      <c r="Q112" s="162"/>
      <c r="R112" s="162"/>
      <c r="S112" s="162"/>
    </row>
    <row r="113" spans="2:19" ht="30" customHeight="1" x14ac:dyDescent="0.2">
      <c r="B113" s="190"/>
      <c r="C113" s="178" t="s">
        <v>58</v>
      </c>
      <c r="D113" s="178"/>
      <c r="E113" s="166" t="s">
        <v>51</v>
      </c>
      <c r="F113" s="166" t="s">
        <v>10</v>
      </c>
      <c r="G113" s="43">
        <v>2367</v>
      </c>
      <c r="H113" s="113"/>
      <c r="I113" s="279"/>
      <c r="J113" s="41">
        <v>1</v>
      </c>
      <c r="K113" s="89">
        <f t="shared" si="26"/>
        <v>0</v>
      </c>
      <c r="L113" s="90"/>
      <c r="M113" s="90"/>
      <c r="N113" s="42">
        <f t="shared" si="29"/>
        <v>0</v>
      </c>
      <c r="O113" s="116"/>
      <c r="P113" s="117"/>
      <c r="Q113" s="162"/>
      <c r="R113" s="162"/>
      <c r="S113" s="162"/>
    </row>
    <row r="114" spans="2:19" ht="30" customHeight="1" x14ac:dyDescent="0.2">
      <c r="B114" s="190"/>
      <c r="C114" s="178"/>
      <c r="D114" s="178"/>
      <c r="E114" s="166" t="s">
        <v>52</v>
      </c>
      <c r="F114" s="166" t="s">
        <v>10</v>
      </c>
      <c r="G114" s="43">
        <v>2223.16</v>
      </c>
      <c r="H114" s="113"/>
      <c r="I114" s="279"/>
      <c r="J114" s="41">
        <v>1</v>
      </c>
      <c r="K114" s="89">
        <f t="shared" si="26"/>
        <v>0</v>
      </c>
      <c r="L114" s="90"/>
      <c r="M114" s="90"/>
      <c r="N114" s="42">
        <f t="shared" si="29"/>
        <v>0</v>
      </c>
      <c r="O114" s="116"/>
      <c r="P114" s="117"/>
      <c r="Q114" s="162"/>
      <c r="R114" s="162"/>
      <c r="S114" s="162"/>
    </row>
    <row r="115" spans="2:19" ht="30" customHeight="1" x14ac:dyDescent="0.2">
      <c r="B115" s="190"/>
      <c r="C115" s="178"/>
      <c r="D115" s="178"/>
      <c r="E115" s="166" t="s">
        <v>53</v>
      </c>
      <c r="F115" s="166" t="s">
        <v>10</v>
      </c>
      <c r="G115" s="43">
        <v>2784.48</v>
      </c>
      <c r="H115" s="113"/>
      <c r="I115" s="279"/>
      <c r="J115" s="41">
        <v>1</v>
      </c>
      <c r="K115" s="89">
        <f t="shared" si="26"/>
        <v>0</v>
      </c>
      <c r="L115" s="90"/>
      <c r="M115" s="90"/>
      <c r="N115" s="42">
        <f t="shared" si="29"/>
        <v>0</v>
      </c>
      <c r="O115" s="116"/>
      <c r="P115" s="117"/>
      <c r="Q115" s="162"/>
      <c r="R115" s="162"/>
      <c r="S115" s="162"/>
    </row>
    <row r="116" spans="2:19" ht="30" customHeight="1" x14ac:dyDescent="0.2">
      <c r="B116" s="190"/>
      <c r="C116" s="178"/>
      <c r="D116" s="178"/>
      <c r="E116" s="166" t="s">
        <v>54</v>
      </c>
      <c r="F116" s="166" t="s">
        <v>10</v>
      </c>
      <c r="G116" s="43">
        <v>7183.68</v>
      </c>
      <c r="H116" s="113"/>
      <c r="I116" s="279"/>
      <c r="J116" s="41">
        <v>1</v>
      </c>
      <c r="K116" s="89">
        <f t="shared" si="26"/>
        <v>0</v>
      </c>
      <c r="L116" s="90"/>
      <c r="M116" s="90"/>
      <c r="N116" s="42">
        <f t="shared" si="29"/>
        <v>0</v>
      </c>
      <c r="O116" s="116"/>
      <c r="P116" s="117"/>
      <c r="Q116" s="162"/>
      <c r="R116" s="162"/>
      <c r="S116" s="162"/>
    </row>
    <row r="117" spans="2:19" ht="30" customHeight="1" x14ac:dyDescent="0.2">
      <c r="B117" s="190"/>
      <c r="C117" s="178"/>
      <c r="D117" s="178"/>
      <c r="E117" s="166" t="s">
        <v>55</v>
      </c>
      <c r="F117" s="166" t="s">
        <v>10</v>
      </c>
      <c r="G117" s="43">
        <v>3749.36</v>
      </c>
      <c r="H117" s="113"/>
      <c r="I117" s="279"/>
      <c r="J117" s="41">
        <v>1</v>
      </c>
      <c r="K117" s="89">
        <f t="shared" si="26"/>
        <v>0</v>
      </c>
      <c r="L117" s="90"/>
      <c r="M117" s="90"/>
      <c r="N117" s="42">
        <f t="shared" si="29"/>
        <v>0</v>
      </c>
      <c r="O117" s="116"/>
      <c r="P117" s="117"/>
      <c r="Q117" s="162"/>
      <c r="R117" s="162"/>
      <c r="S117" s="162"/>
    </row>
    <row r="118" spans="2:19" ht="30" customHeight="1" x14ac:dyDescent="0.2">
      <c r="B118" s="190"/>
      <c r="C118" s="178"/>
      <c r="D118" s="178"/>
      <c r="E118" s="166" t="s">
        <v>56</v>
      </c>
      <c r="F118" s="166" t="s">
        <v>10</v>
      </c>
      <c r="G118" s="43">
        <v>3238.12</v>
      </c>
      <c r="H118" s="113"/>
      <c r="I118" s="279"/>
      <c r="J118" s="41">
        <v>1</v>
      </c>
      <c r="K118" s="89">
        <f t="shared" si="26"/>
        <v>0</v>
      </c>
      <c r="L118" s="90"/>
      <c r="M118" s="90"/>
      <c r="N118" s="42">
        <f t="shared" si="29"/>
        <v>0</v>
      </c>
      <c r="O118" s="116"/>
      <c r="P118" s="117"/>
      <c r="Q118" s="162"/>
      <c r="R118" s="162"/>
      <c r="S118" s="162"/>
    </row>
    <row r="119" spans="2:19" ht="30" customHeight="1" x14ac:dyDescent="0.2">
      <c r="B119" s="190"/>
      <c r="C119" s="178"/>
      <c r="D119" s="178"/>
      <c r="E119" s="166" t="s">
        <v>57</v>
      </c>
      <c r="F119" s="166" t="s">
        <v>10</v>
      </c>
      <c r="G119" s="43">
        <v>9427.3799999999992</v>
      </c>
      <c r="H119" s="113"/>
      <c r="I119" s="279"/>
      <c r="J119" s="41">
        <v>1</v>
      </c>
      <c r="K119" s="89">
        <f t="shared" si="26"/>
        <v>0</v>
      </c>
      <c r="L119" s="90"/>
      <c r="M119" s="90"/>
      <c r="N119" s="42">
        <f>G119*H119*J119</f>
        <v>0</v>
      </c>
      <c r="O119" s="116"/>
      <c r="P119" s="117"/>
      <c r="Q119" s="162"/>
      <c r="R119" s="162"/>
      <c r="S119" s="162"/>
    </row>
    <row r="120" spans="2:19" ht="47.1" customHeight="1" x14ac:dyDescent="0.2">
      <c r="B120" s="198" t="s">
        <v>169</v>
      </c>
      <c r="C120" s="166" t="s">
        <v>119</v>
      </c>
      <c r="D120" s="200" t="s">
        <v>170</v>
      </c>
      <c r="E120" s="258" t="s">
        <v>118</v>
      </c>
      <c r="F120" s="258" t="s">
        <v>10</v>
      </c>
      <c r="G120" s="280">
        <f>457.65*2</f>
        <v>915.3</v>
      </c>
      <c r="H120" s="320"/>
      <c r="I120" s="276"/>
      <c r="J120" s="41">
        <v>1</v>
      </c>
      <c r="K120" s="89">
        <f t="shared" si="26"/>
        <v>0</v>
      </c>
      <c r="L120" s="90"/>
      <c r="M120" s="90"/>
      <c r="N120" s="42">
        <f>G120*H120*J120</f>
        <v>0</v>
      </c>
      <c r="O120" s="116"/>
      <c r="P120" s="117"/>
      <c r="Q120" s="162"/>
      <c r="R120" s="162"/>
      <c r="S120" s="162"/>
    </row>
    <row r="121" spans="2:19" ht="47.1" customHeight="1" x14ac:dyDescent="0.2">
      <c r="B121" s="198"/>
      <c r="C121" s="164" t="s">
        <v>120</v>
      </c>
      <c r="D121" s="202"/>
      <c r="E121" s="258" t="s">
        <v>118</v>
      </c>
      <c r="F121" s="258" t="s">
        <v>10</v>
      </c>
      <c r="G121" s="280">
        <f>457.65*2</f>
        <v>915.3</v>
      </c>
      <c r="H121" s="320"/>
      <c r="I121" s="276"/>
      <c r="J121" s="41">
        <v>1</v>
      </c>
      <c r="K121" s="89">
        <f t="shared" si="26"/>
        <v>0</v>
      </c>
      <c r="L121" s="90"/>
      <c r="M121" s="90"/>
      <c r="N121" s="42">
        <f>G121*H121*J121</f>
        <v>0</v>
      </c>
      <c r="O121" s="116"/>
      <c r="P121" s="117"/>
      <c r="Q121" s="162"/>
      <c r="R121" s="162"/>
      <c r="S121" s="162"/>
    </row>
    <row r="122" spans="2:19" ht="47.1" customHeight="1" x14ac:dyDescent="0.2">
      <c r="B122" s="190" t="s">
        <v>152</v>
      </c>
      <c r="C122" s="178" t="s">
        <v>46</v>
      </c>
      <c r="D122" s="178" t="s">
        <v>59</v>
      </c>
      <c r="E122" s="166" t="s">
        <v>60</v>
      </c>
      <c r="F122" s="166" t="s">
        <v>44</v>
      </c>
      <c r="G122" s="43">
        <v>1.22</v>
      </c>
      <c r="H122" s="277">
        <f>(I122*8)/43560</f>
        <v>0</v>
      </c>
      <c r="I122" s="113"/>
      <c r="J122" s="41">
        <v>1</v>
      </c>
      <c r="K122" s="89">
        <f t="shared" si="26"/>
        <v>0</v>
      </c>
      <c r="L122" s="90"/>
      <c r="M122" s="90"/>
      <c r="N122" s="42">
        <f>G122*I122*J122</f>
        <v>0</v>
      </c>
      <c r="O122" s="116"/>
      <c r="P122" s="117"/>
      <c r="Q122" s="162"/>
      <c r="R122" s="162"/>
      <c r="S122" s="162"/>
    </row>
    <row r="123" spans="2:19" ht="47.1" customHeight="1" x14ac:dyDescent="0.2">
      <c r="B123" s="190"/>
      <c r="C123" s="178"/>
      <c r="D123" s="178"/>
      <c r="E123" s="166" t="s">
        <v>61</v>
      </c>
      <c r="F123" s="166" t="s">
        <v>44</v>
      </c>
      <c r="G123" s="43">
        <v>1.78</v>
      </c>
      <c r="H123" s="277">
        <f t="shared" ref="H123:H125" si="30">(I123*8)/43560</f>
        <v>0</v>
      </c>
      <c r="I123" s="113"/>
      <c r="J123" s="41">
        <v>1</v>
      </c>
      <c r="K123" s="89">
        <f t="shared" si="26"/>
        <v>0</v>
      </c>
      <c r="L123" s="90"/>
      <c r="M123" s="90"/>
      <c r="N123" s="42">
        <f t="shared" ref="N123:N125" si="31">G123*I123*J123</f>
        <v>0</v>
      </c>
      <c r="O123" s="116"/>
      <c r="P123" s="117"/>
      <c r="Q123" s="162"/>
      <c r="R123" s="162"/>
      <c r="S123" s="162"/>
    </row>
    <row r="124" spans="2:19" ht="47.1" customHeight="1" x14ac:dyDescent="0.2">
      <c r="B124" s="190"/>
      <c r="C124" s="178" t="s">
        <v>49</v>
      </c>
      <c r="D124" s="178"/>
      <c r="E124" s="166" t="s">
        <v>60</v>
      </c>
      <c r="F124" s="166" t="s">
        <v>44</v>
      </c>
      <c r="G124" s="43">
        <v>1.22</v>
      </c>
      <c r="H124" s="277">
        <f t="shared" si="30"/>
        <v>0</v>
      </c>
      <c r="I124" s="113"/>
      <c r="J124" s="41">
        <v>1</v>
      </c>
      <c r="K124" s="89">
        <f t="shared" si="26"/>
        <v>0</v>
      </c>
      <c r="L124" s="90"/>
      <c r="M124" s="90"/>
      <c r="N124" s="42">
        <f>G124*I124*J124</f>
        <v>0</v>
      </c>
      <c r="O124" s="116"/>
      <c r="P124" s="117"/>
      <c r="Q124" s="162"/>
      <c r="R124" s="162"/>
      <c r="S124" s="162"/>
    </row>
    <row r="125" spans="2:19" ht="47.1" customHeight="1" x14ac:dyDescent="0.2">
      <c r="B125" s="190"/>
      <c r="C125" s="178"/>
      <c r="D125" s="178"/>
      <c r="E125" s="166" t="s">
        <v>61</v>
      </c>
      <c r="F125" s="166" t="s">
        <v>44</v>
      </c>
      <c r="G125" s="43">
        <v>1.78</v>
      </c>
      <c r="H125" s="277">
        <f t="shared" si="30"/>
        <v>0</v>
      </c>
      <c r="I125" s="113"/>
      <c r="J125" s="41">
        <v>1</v>
      </c>
      <c r="K125" s="89">
        <f t="shared" si="26"/>
        <v>0</v>
      </c>
      <c r="L125" s="90"/>
      <c r="M125" s="90"/>
      <c r="N125" s="42">
        <f t="shared" si="31"/>
        <v>0</v>
      </c>
      <c r="O125" s="116"/>
      <c r="P125" s="117"/>
      <c r="Q125" s="162"/>
      <c r="R125" s="162"/>
      <c r="S125" s="162"/>
    </row>
    <row r="126" spans="2:19" ht="22.5" customHeight="1" thickBot="1" x14ac:dyDescent="0.25">
      <c r="B126" s="321"/>
      <c r="C126" s="322"/>
      <c r="D126" s="322"/>
      <c r="E126" s="44"/>
      <c r="F126" s="44"/>
      <c r="G126" s="44"/>
      <c r="H126" s="191" t="s">
        <v>26</v>
      </c>
      <c r="I126" s="192"/>
      <c r="J126" s="192"/>
      <c r="K126" s="108">
        <f t="shared" ref="K126:P126" si="32">SUM(K98:K125)</f>
        <v>0</v>
      </c>
      <c r="L126" s="108">
        <f t="shared" si="32"/>
        <v>0</v>
      </c>
      <c r="M126" s="108">
        <f t="shared" si="32"/>
        <v>0</v>
      </c>
      <c r="N126" s="45">
        <f t="shared" si="32"/>
        <v>0</v>
      </c>
      <c r="O126" s="46">
        <f t="shared" si="32"/>
        <v>0</v>
      </c>
      <c r="P126" s="47">
        <f t="shared" si="32"/>
        <v>0</v>
      </c>
      <c r="Q126" s="162"/>
      <c r="R126" s="162"/>
      <c r="S126" s="162"/>
    </row>
    <row r="127" spans="2:19" s="19" customFormat="1" ht="12" customHeight="1" thickTop="1" thickBot="1" x14ac:dyDescent="0.25">
      <c r="B127" s="323"/>
      <c r="C127" s="313"/>
      <c r="D127" s="313"/>
      <c r="E127" s="313"/>
      <c r="F127" s="313"/>
      <c r="G127" s="313"/>
      <c r="H127" s="324"/>
      <c r="I127" s="325"/>
      <c r="J127" s="326"/>
      <c r="K127" s="327"/>
      <c r="L127" s="327"/>
      <c r="M127" s="327"/>
      <c r="N127" s="328"/>
      <c r="O127" s="328"/>
      <c r="P127" s="329"/>
      <c r="Q127" s="162"/>
      <c r="R127" s="162"/>
      <c r="S127" s="162"/>
    </row>
    <row r="128" spans="2:19" ht="24.95" customHeight="1" thickTop="1" x14ac:dyDescent="0.2">
      <c r="B128" s="193" t="s">
        <v>121</v>
      </c>
      <c r="C128" s="194"/>
      <c r="D128" s="194"/>
      <c r="E128" s="194"/>
      <c r="F128" s="194"/>
      <c r="G128" s="194"/>
      <c r="H128" s="194"/>
      <c r="I128" s="194"/>
      <c r="J128" s="195"/>
      <c r="K128" s="95"/>
      <c r="L128" s="95"/>
      <c r="M128" s="95"/>
      <c r="N128" s="281"/>
      <c r="O128" s="282"/>
      <c r="P128" s="283"/>
      <c r="Q128" s="162"/>
      <c r="R128" s="162"/>
      <c r="S128" s="162"/>
    </row>
    <row r="129" spans="2:19" ht="47.25" customHeight="1" x14ac:dyDescent="0.2">
      <c r="B129" s="49" t="s">
        <v>1</v>
      </c>
      <c r="C129" s="50" t="s">
        <v>2</v>
      </c>
      <c r="D129" s="50" t="s">
        <v>3</v>
      </c>
      <c r="E129" s="51" t="s">
        <v>4</v>
      </c>
      <c r="F129" s="51" t="s">
        <v>5</v>
      </c>
      <c r="G129" s="52" t="s">
        <v>6</v>
      </c>
      <c r="H129" s="53" t="s">
        <v>7</v>
      </c>
      <c r="I129" s="51" t="s">
        <v>117</v>
      </c>
      <c r="J129" s="51" t="s">
        <v>164</v>
      </c>
      <c r="K129" s="96" t="s">
        <v>161</v>
      </c>
      <c r="L129" s="96" t="s">
        <v>162</v>
      </c>
      <c r="M129" s="96" t="s">
        <v>163</v>
      </c>
      <c r="N129" s="54" t="s">
        <v>80</v>
      </c>
      <c r="O129" s="55" t="s">
        <v>8</v>
      </c>
      <c r="P129" s="284" t="s">
        <v>77</v>
      </c>
      <c r="Q129" s="162"/>
      <c r="R129" s="162"/>
      <c r="S129" s="162"/>
    </row>
    <row r="130" spans="2:19" ht="24.75" customHeight="1" x14ac:dyDescent="0.2">
      <c r="B130" s="196" t="s">
        <v>171</v>
      </c>
      <c r="C130" s="178" t="s">
        <v>124</v>
      </c>
      <c r="D130" s="200" t="s">
        <v>191</v>
      </c>
      <c r="E130" s="258" t="s">
        <v>122</v>
      </c>
      <c r="F130" s="258" t="s">
        <v>10</v>
      </c>
      <c r="G130" s="280">
        <f>11.03*2</f>
        <v>22.06</v>
      </c>
      <c r="H130" s="320"/>
      <c r="I130" s="276"/>
      <c r="J130" s="41">
        <v>3</v>
      </c>
      <c r="K130" s="89">
        <f t="shared" ref="K130:K140" si="33">+N130/J130</f>
        <v>0</v>
      </c>
      <c r="L130" s="89">
        <f t="shared" ref="L130:L133" si="34">+N130/J130</f>
        <v>0</v>
      </c>
      <c r="M130" s="89">
        <f t="shared" ref="M130:M133" si="35">+N130/J130</f>
        <v>0</v>
      </c>
      <c r="N130" s="42">
        <f>G130*H130*J130</f>
        <v>0</v>
      </c>
      <c r="O130" s="116"/>
      <c r="P130" s="117"/>
      <c r="Q130" s="162"/>
      <c r="R130" s="162"/>
      <c r="S130" s="162"/>
    </row>
    <row r="131" spans="2:19" ht="30" customHeight="1" x14ac:dyDescent="0.2">
      <c r="B131" s="196"/>
      <c r="C131" s="178"/>
      <c r="D131" s="201"/>
      <c r="E131" s="258" t="s">
        <v>123</v>
      </c>
      <c r="F131" s="258" t="s">
        <v>10</v>
      </c>
      <c r="G131" s="280">
        <f>2*2.5</f>
        <v>5</v>
      </c>
      <c r="H131" s="113"/>
      <c r="I131" s="285"/>
      <c r="J131" s="41">
        <v>3</v>
      </c>
      <c r="K131" s="89">
        <f t="shared" si="33"/>
        <v>0</v>
      </c>
      <c r="L131" s="89">
        <f t="shared" si="34"/>
        <v>0</v>
      </c>
      <c r="M131" s="89">
        <f t="shared" si="35"/>
        <v>0</v>
      </c>
      <c r="N131" s="42">
        <f t="shared" ref="N131:N140" si="36">G131*H131*J131</f>
        <v>0</v>
      </c>
      <c r="O131" s="116"/>
      <c r="P131" s="117"/>
      <c r="Q131" s="162"/>
      <c r="R131" s="162"/>
      <c r="S131" s="162"/>
    </row>
    <row r="132" spans="2:19" ht="30" customHeight="1" x14ac:dyDescent="0.2">
      <c r="B132" s="196"/>
      <c r="C132" s="200" t="s">
        <v>172</v>
      </c>
      <c r="D132" s="201"/>
      <c r="E132" s="258" t="s">
        <v>122</v>
      </c>
      <c r="F132" s="258" t="s">
        <v>10</v>
      </c>
      <c r="G132" s="280">
        <v>22.06</v>
      </c>
      <c r="H132" s="113"/>
      <c r="I132" s="285"/>
      <c r="J132" s="41">
        <v>3</v>
      </c>
      <c r="K132" s="89">
        <f t="shared" ref="K132" si="37">+N132/J132</f>
        <v>0</v>
      </c>
      <c r="L132" s="89">
        <f t="shared" ref="L132" si="38">+N132/J132</f>
        <v>0</v>
      </c>
      <c r="M132" s="89">
        <f t="shared" ref="M132" si="39">+N132/J132</f>
        <v>0</v>
      </c>
      <c r="N132" s="42">
        <f t="shared" si="36"/>
        <v>0</v>
      </c>
      <c r="O132" s="116"/>
      <c r="P132" s="117"/>
      <c r="Q132" s="162"/>
      <c r="R132" s="162"/>
      <c r="S132" s="162"/>
    </row>
    <row r="133" spans="2:19" ht="24.75" customHeight="1" x14ac:dyDescent="0.2">
      <c r="B133" s="196"/>
      <c r="C133" s="202"/>
      <c r="D133" s="202"/>
      <c r="E133" s="258" t="s">
        <v>123</v>
      </c>
      <c r="F133" s="258" t="s">
        <v>10</v>
      </c>
      <c r="G133" s="280">
        <v>5</v>
      </c>
      <c r="H133" s="320"/>
      <c r="I133" s="276"/>
      <c r="J133" s="41">
        <v>3</v>
      </c>
      <c r="K133" s="89">
        <f t="shared" si="33"/>
        <v>0</v>
      </c>
      <c r="L133" s="89">
        <f t="shared" si="34"/>
        <v>0</v>
      </c>
      <c r="M133" s="89">
        <f t="shared" si="35"/>
        <v>0</v>
      </c>
      <c r="N133" s="42">
        <f t="shared" si="36"/>
        <v>0</v>
      </c>
      <c r="O133" s="116"/>
      <c r="P133" s="117"/>
      <c r="Q133" s="162"/>
      <c r="R133" s="162"/>
      <c r="S133" s="162"/>
    </row>
    <row r="134" spans="2:19" ht="30" customHeight="1" x14ac:dyDescent="0.2">
      <c r="B134" s="197" t="s">
        <v>154</v>
      </c>
      <c r="C134" s="200" t="s">
        <v>131</v>
      </c>
      <c r="D134" s="200" t="s">
        <v>190</v>
      </c>
      <c r="E134" s="258" t="s">
        <v>125</v>
      </c>
      <c r="F134" s="258" t="s">
        <v>10</v>
      </c>
      <c r="G134" s="286">
        <f>2*287.78</f>
        <v>575.55999999999995</v>
      </c>
      <c r="H134" s="113"/>
      <c r="I134" s="279"/>
      <c r="J134" s="41">
        <v>1</v>
      </c>
      <c r="K134" s="89">
        <f t="shared" si="33"/>
        <v>0</v>
      </c>
      <c r="L134" s="90"/>
      <c r="M134" s="90"/>
      <c r="N134" s="42">
        <f t="shared" si="36"/>
        <v>0</v>
      </c>
      <c r="O134" s="116"/>
      <c r="P134" s="117"/>
      <c r="Q134" s="162"/>
      <c r="R134" s="162"/>
      <c r="S134" s="162"/>
    </row>
    <row r="135" spans="2:19" ht="30" customHeight="1" x14ac:dyDescent="0.2">
      <c r="B135" s="198"/>
      <c r="C135" s="201"/>
      <c r="D135" s="201"/>
      <c r="E135" s="258" t="s">
        <v>126</v>
      </c>
      <c r="F135" s="258" t="s">
        <v>10</v>
      </c>
      <c r="G135" s="286">
        <f>2*263.19</f>
        <v>526.38</v>
      </c>
      <c r="H135" s="113"/>
      <c r="I135" s="279"/>
      <c r="J135" s="41">
        <v>1</v>
      </c>
      <c r="K135" s="89">
        <f t="shared" si="33"/>
        <v>0</v>
      </c>
      <c r="L135" s="90"/>
      <c r="M135" s="90"/>
      <c r="N135" s="42">
        <f t="shared" si="36"/>
        <v>0</v>
      </c>
      <c r="O135" s="116"/>
      <c r="P135" s="117"/>
      <c r="Q135" s="162"/>
      <c r="R135" s="162"/>
      <c r="S135" s="162"/>
    </row>
    <row r="136" spans="2:19" ht="21" customHeight="1" x14ac:dyDescent="0.2">
      <c r="B136" s="198"/>
      <c r="C136" s="201"/>
      <c r="D136" s="201"/>
      <c r="E136" s="258" t="s">
        <v>127</v>
      </c>
      <c r="F136" s="258" t="s">
        <v>10</v>
      </c>
      <c r="G136" s="286">
        <f>2*175.61</f>
        <v>351.22</v>
      </c>
      <c r="H136" s="113"/>
      <c r="I136" s="279"/>
      <c r="J136" s="41">
        <v>1</v>
      </c>
      <c r="K136" s="89">
        <f t="shared" si="33"/>
        <v>0</v>
      </c>
      <c r="L136" s="90"/>
      <c r="M136" s="90"/>
      <c r="N136" s="42">
        <f t="shared" si="36"/>
        <v>0</v>
      </c>
      <c r="O136" s="116"/>
      <c r="P136" s="117"/>
      <c r="Q136" s="162"/>
      <c r="R136" s="162"/>
      <c r="S136" s="162"/>
    </row>
    <row r="137" spans="2:19" ht="30" customHeight="1" x14ac:dyDescent="0.2">
      <c r="B137" s="198"/>
      <c r="C137" s="201"/>
      <c r="D137" s="201"/>
      <c r="E137" s="258" t="s">
        <v>128</v>
      </c>
      <c r="F137" s="258" t="s">
        <v>10</v>
      </c>
      <c r="G137" s="286">
        <f>2*106.45</f>
        <v>212.9</v>
      </c>
      <c r="H137" s="113"/>
      <c r="I137" s="279"/>
      <c r="J137" s="41">
        <v>1</v>
      </c>
      <c r="K137" s="89">
        <f>+N137/J137</f>
        <v>0</v>
      </c>
      <c r="L137" s="90"/>
      <c r="M137" s="90"/>
      <c r="N137" s="42">
        <f t="shared" si="36"/>
        <v>0</v>
      </c>
      <c r="O137" s="116"/>
      <c r="P137" s="117"/>
      <c r="Q137" s="162"/>
      <c r="R137" s="162"/>
      <c r="S137" s="162"/>
    </row>
    <row r="138" spans="2:19" ht="30" customHeight="1" x14ac:dyDescent="0.2">
      <c r="B138" s="198"/>
      <c r="C138" s="201"/>
      <c r="D138" s="201"/>
      <c r="E138" s="258" t="s">
        <v>129</v>
      </c>
      <c r="F138" s="258" t="s">
        <v>10</v>
      </c>
      <c r="G138" s="286">
        <f>2*84.95</f>
        <v>169.9</v>
      </c>
      <c r="H138" s="113"/>
      <c r="I138" s="279"/>
      <c r="J138" s="41">
        <v>1</v>
      </c>
      <c r="K138" s="89">
        <f t="shared" si="33"/>
        <v>0</v>
      </c>
      <c r="L138" s="90"/>
      <c r="M138" s="90"/>
      <c r="N138" s="42">
        <f t="shared" si="36"/>
        <v>0</v>
      </c>
      <c r="O138" s="116"/>
      <c r="P138" s="117"/>
      <c r="Q138" s="162"/>
      <c r="R138" s="162"/>
      <c r="S138" s="162"/>
    </row>
    <row r="139" spans="2:19" ht="30" customHeight="1" x14ac:dyDescent="0.2">
      <c r="B139" s="199"/>
      <c r="C139" s="202"/>
      <c r="D139" s="202"/>
      <c r="E139" s="258" t="s">
        <v>130</v>
      </c>
      <c r="F139" s="258" t="s">
        <v>10</v>
      </c>
      <c r="G139" s="286">
        <f>1289.23*2</f>
        <v>2578.46</v>
      </c>
      <c r="H139" s="113"/>
      <c r="I139" s="279"/>
      <c r="J139" s="41">
        <v>1</v>
      </c>
      <c r="K139" s="89">
        <f t="shared" si="33"/>
        <v>0</v>
      </c>
      <c r="L139" s="90"/>
      <c r="M139" s="90"/>
      <c r="N139" s="42">
        <f t="shared" si="36"/>
        <v>0</v>
      </c>
      <c r="O139" s="116"/>
      <c r="P139" s="117"/>
      <c r="Q139" s="162"/>
      <c r="R139" s="162"/>
      <c r="S139" s="162"/>
    </row>
    <row r="140" spans="2:19" ht="80.099999999999994" customHeight="1" x14ac:dyDescent="0.2">
      <c r="B140" s="167" t="s">
        <v>153</v>
      </c>
      <c r="C140" s="166" t="s">
        <v>62</v>
      </c>
      <c r="D140" s="166" t="s">
        <v>73</v>
      </c>
      <c r="E140" s="166" t="s">
        <v>63</v>
      </c>
      <c r="F140" s="166" t="s">
        <v>10</v>
      </c>
      <c r="G140" s="43">
        <v>193.9</v>
      </c>
      <c r="H140" s="113"/>
      <c r="I140" s="279"/>
      <c r="J140" s="41">
        <v>1</v>
      </c>
      <c r="K140" s="89">
        <f t="shared" si="33"/>
        <v>0</v>
      </c>
      <c r="L140" s="90"/>
      <c r="M140" s="90"/>
      <c r="N140" s="42">
        <f t="shared" si="36"/>
        <v>0</v>
      </c>
      <c r="O140" s="116"/>
      <c r="P140" s="117"/>
      <c r="Q140" s="162"/>
      <c r="R140" s="162"/>
      <c r="S140" s="162"/>
    </row>
    <row r="141" spans="2:19" ht="22.5" customHeight="1" thickBot="1" x14ac:dyDescent="0.25">
      <c r="B141" s="56"/>
      <c r="C141" s="57"/>
      <c r="D141" s="57"/>
      <c r="E141" s="57"/>
      <c r="F141" s="57"/>
      <c r="G141" s="57"/>
      <c r="H141" s="188" t="s">
        <v>26</v>
      </c>
      <c r="I141" s="189"/>
      <c r="J141" s="189"/>
      <c r="K141" s="109">
        <f t="shared" ref="K141:P141" si="40">SUM(K130:K140)</f>
        <v>0</v>
      </c>
      <c r="L141" s="109">
        <f t="shared" si="40"/>
        <v>0</v>
      </c>
      <c r="M141" s="109">
        <f t="shared" si="40"/>
        <v>0</v>
      </c>
      <c r="N141" s="58">
        <f t="shared" si="40"/>
        <v>0</v>
      </c>
      <c r="O141" s="59">
        <f t="shared" si="40"/>
        <v>0</v>
      </c>
      <c r="P141" s="60">
        <f t="shared" si="40"/>
        <v>0</v>
      </c>
      <c r="Q141" s="162"/>
      <c r="R141" s="162"/>
      <c r="S141" s="162"/>
    </row>
    <row r="142" spans="2:19" ht="12.95" customHeight="1" thickTop="1" thickBot="1" x14ac:dyDescent="0.25">
      <c r="B142" s="315"/>
      <c r="C142" s="315"/>
      <c r="D142" s="315"/>
      <c r="E142" s="315"/>
      <c r="F142" s="315"/>
      <c r="G142" s="315"/>
      <c r="H142" s="269"/>
      <c r="I142" s="269"/>
      <c r="J142" s="269"/>
      <c r="K142" s="287"/>
      <c r="L142" s="287"/>
      <c r="M142" s="287"/>
      <c r="N142" s="269"/>
      <c r="O142" s="270"/>
      <c r="P142" s="84"/>
      <c r="Q142" s="162"/>
      <c r="R142" s="162"/>
      <c r="S142" s="162"/>
    </row>
    <row r="143" spans="2:19" ht="24.95" customHeight="1" thickTop="1" x14ac:dyDescent="0.2">
      <c r="B143" s="172" t="s">
        <v>132</v>
      </c>
      <c r="C143" s="173"/>
      <c r="D143" s="173"/>
      <c r="E143" s="173"/>
      <c r="F143" s="173"/>
      <c r="G143" s="173"/>
      <c r="H143" s="173"/>
      <c r="I143" s="173"/>
      <c r="J143" s="174"/>
      <c r="K143" s="97"/>
      <c r="L143" s="97"/>
      <c r="M143" s="97"/>
      <c r="N143" s="61"/>
      <c r="O143" s="62"/>
      <c r="P143" s="288"/>
      <c r="Q143" s="162"/>
      <c r="R143" s="162"/>
      <c r="S143" s="162"/>
    </row>
    <row r="144" spans="2:19" ht="50.25" customHeight="1" x14ac:dyDescent="0.2">
      <c r="B144" s="175" t="s">
        <v>64</v>
      </c>
      <c r="C144" s="176"/>
      <c r="D144" s="176"/>
      <c r="E144" s="176"/>
      <c r="F144" s="176"/>
      <c r="G144" s="63" t="s">
        <v>6</v>
      </c>
      <c r="H144" s="168" t="s">
        <v>65</v>
      </c>
      <c r="I144" s="168"/>
      <c r="J144" s="118" t="s">
        <v>164</v>
      </c>
      <c r="K144" s="98" t="s">
        <v>161</v>
      </c>
      <c r="L144" s="98" t="s">
        <v>162</v>
      </c>
      <c r="M144" s="98" t="s">
        <v>163</v>
      </c>
      <c r="N144" s="64" t="s">
        <v>80</v>
      </c>
      <c r="O144" s="65" t="s">
        <v>8</v>
      </c>
      <c r="P144" s="289" t="s">
        <v>77</v>
      </c>
      <c r="Q144" s="162"/>
      <c r="R144" s="162"/>
      <c r="S144" s="162"/>
    </row>
    <row r="145" spans="2:19" ht="30" customHeight="1" x14ac:dyDescent="0.2">
      <c r="B145" s="177" t="s">
        <v>66</v>
      </c>
      <c r="C145" s="178"/>
      <c r="D145" s="178"/>
      <c r="E145" s="178"/>
      <c r="F145" s="178"/>
      <c r="G145" s="66">
        <v>50</v>
      </c>
      <c r="H145" s="113"/>
      <c r="I145" s="250"/>
      <c r="J145" s="15">
        <v>3</v>
      </c>
      <c r="K145" s="89">
        <f>N145/J145</f>
        <v>0</v>
      </c>
      <c r="L145" s="89">
        <f>N145/J145</f>
        <v>0</v>
      </c>
      <c r="M145" s="89">
        <f>N145/J145</f>
        <v>0</v>
      </c>
      <c r="N145" s="42">
        <f>G145*H145*J145</f>
        <v>0</v>
      </c>
      <c r="O145" s="115"/>
      <c r="P145" s="67"/>
      <c r="Q145" s="162"/>
      <c r="R145" s="162"/>
      <c r="S145" s="162"/>
    </row>
    <row r="146" spans="2:19" ht="24.75" customHeight="1" thickBot="1" x14ac:dyDescent="0.25">
      <c r="B146" s="68"/>
      <c r="C146" s="69"/>
      <c r="D146" s="69"/>
      <c r="E146" s="69"/>
      <c r="F146" s="69"/>
      <c r="G146" s="69"/>
      <c r="H146" s="179" t="s">
        <v>26</v>
      </c>
      <c r="I146" s="180"/>
      <c r="J146" s="180"/>
      <c r="K146" s="110">
        <f>SUM(K145)</f>
        <v>0</v>
      </c>
      <c r="L146" s="110">
        <f t="shared" ref="L146:M146" si="41">SUM(L145)</f>
        <v>0</v>
      </c>
      <c r="M146" s="110">
        <f t="shared" si="41"/>
        <v>0</v>
      </c>
      <c r="N146" s="70">
        <f>SUM(N145:N145)</f>
        <v>0</v>
      </c>
      <c r="O146" s="71">
        <f>SUM(O145:O145)</f>
        <v>0</v>
      </c>
      <c r="P146" s="72">
        <f>SUM(P145:P145)</f>
        <v>0</v>
      </c>
      <c r="Q146" s="162"/>
      <c r="R146" s="162"/>
      <c r="S146" s="162"/>
    </row>
    <row r="147" spans="2:19" ht="15" customHeight="1" thickTop="1" x14ac:dyDescent="0.2">
      <c r="B147" s="330"/>
      <c r="C147" s="330"/>
      <c r="D147" s="330"/>
      <c r="E147" s="330"/>
      <c r="F147" s="330"/>
      <c r="G147" s="330"/>
      <c r="H147" s="330"/>
      <c r="I147" s="330"/>
      <c r="J147" s="330"/>
      <c r="K147" s="291"/>
      <c r="L147" s="291"/>
      <c r="M147" s="291"/>
      <c r="N147" s="290"/>
      <c r="O147" s="292"/>
      <c r="P147" s="84"/>
      <c r="Q147" s="162"/>
      <c r="R147" s="162"/>
      <c r="S147" s="162"/>
    </row>
    <row r="148" spans="2:19" ht="15" customHeight="1" thickBot="1" x14ac:dyDescent="0.25">
      <c r="B148" s="330"/>
      <c r="C148" s="330"/>
      <c r="D148" s="330"/>
      <c r="E148" s="330"/>
      <c r="F148" s="330"/>
      <c r="G148" s="330"/>
      <c r="H148" s="330"/>
      <c r="I148" s="330"/>
      <c r="J148" s="330"/>
      <c r="K148" s="331"/>
      <c r="L148" s="331"/>
      <c r="M148" s="331"/>
      <c r="N148" s="330"/>
      <c r="O148" s="332"/>
      <c r="P148" s="162"/>
      <c r="Q148" s="162"/>
      <c r="R148" s="162"/>
      <c r="S148" s="162"/>
    </row>
    <row r="149" spans="2:19" ht="75" customHeight="1" thickTop="1" x14ac:dyDescent="0.25">
      <c r="B149" s="333" t="s">
        <v>74</v>
      </c>
      <c r="C149" s="334"/>
      <c r="D149" s="335"/>
      <c r="E149" s="336"/>
      <c r="F149" s="337"/>
      <c r="G149" s="338"/>
      <c r="H149" s="181" t="s">
        <v>79</v>
      </c>
      <c r="I149" s="182"/>
      <c r="J149" s="183"/>
      <c r="K149" s="138" t="s">
        <v>161</v>
      </c>
      <c r="L149" s="138" t="s">
        <v>162</v>
      </c>
      <c r="M149" s="138" t="s">
        <v>163</v>
      </c>
      <c r="N149" s="74" t="s">
        <v>76</v>
      </c>
      <c r="O149" s="75" t="s">
        <v>67</v>
      </c>
      <c r="P149" s="139" t="s">
        <v>78</v>
      </c>
      <c r="Q149" s="140" t="s">
        <v>277</v>
      </c>
      <c r="R149" s="139" t="s">
        <v>278</v>
      </c>
      <c r="S149" s="139" t="s">
        <v>279</v>
      </c>
    </row>
    <row r="150" spans="2:19" ht="20.100000000000001" customHeight="1" x14ac:dyDescent="0.2">
      <c r="B150" s="184" t="s">
        <v>133</v>
      </c>
      <c r="C150" s="185"/>
      <c r="D150" s="185"/>
      <c r="E150" s="185"/>
      <c r="F150" s="339"/>
      <c r="G150" s="340"/>
      <c r="H150" s="169" t="s">
        <v>0</v>
      </c>
      <c r="I150" s="170"/>
      <c r="J150" s="171"/>
      <c r="K150" s="137">
        <f>K34</f>
        <v>0</v>
      </c>
      <c r="L150" s="137">
        <f>L34</f>
        <v>0</v>
      </c>
      <c r="M150" s="137">
        <f>M34</f>
        <v>0</v>
      </c>
      <c r="N150" s="76">
        <f>$N$34</f>
        <v>0</v>
      </c>
      <c r="O150" s="17">
        <f>$O$34</f>
        <v>0</v>
      </c>
      <c r="P150" s="17">
        <f>$P$34</f>
        <v>0</v>
      </c>
      <c r="Q150" s="151">
        <f>SUM(Q10,Q12,Q18,Q20,Q22,Q28:Q33)</f>
        <v>0</v>
      </c>
      <c r="R150" s="151">
        <f t="shared" ref="R150" si="42">SUM(R10,R12,R18,R20,R22,R28:R33)</f>
        <v>0</v>
      </c>
      <c r="S150" s="151">
        <f>SUM(S20,S22)</f>
        <v>0</v>
      </c>
    </row>
    <row r="151" spans="2:19" ht="26.25" customHeight="1" x14ac:dyDescent="0.2">
      <c r="B151" s="184"/>
      <c r="C151" s="185"/>
      <c r="D151" s="185"/>
      <c r="E151" s="185"/>
      <c r="F151" s="339"/>
      <c r="G151" s="340"/>
      <c r="H151" s="169" t="s">
        <v>27</v>
      </c>
      <c r="I151" s="170"/>
      <c r="J151" s="171"/>
      <c r="K151" s="137">
        <f>K94</f>
        <v>0</v>
      </c>
      <c r="L151" s="137">
        <f>L94</f>
        <v>0</v>
      </c>
      <c r="M151" s="137">
        <f>M94</f>
        <v>0</v>
      </c>
      <c r="N151" s="76">
        <f>$N$94</f>
        <v>0</v>
      </c>
      <c r="O151" s="17">
        <f>$O$94</f>
        <v>0</v>
      </c>
      <c r="P151" s="17">
        <f>$P$94</f>
        <v>0</v>
      </c>
      <c r="Q151" s="152"/>
      <c r="R151" s="152"/>
      <c r="S151" s="152"/>
    </row>
    <row r="152" spans="2:19" ht="21.75" customHeight="1" x14ac:dyDescent="0.2">
      <c r="B152" s="184"/>
      <c r="C152" s="185"/>
      <c r="D152" s="185"/>
      <c r="E152" s="185"/>
      <c r="F152" s="339"/>
      <c r="G152" s="340"/>
      <c r="H152" s="169" t="s">
        <v>135</v>
      </c>
      <c r="I152" s="170"/>
      <c r="J152" s="171"/>
      <c r="K152" s="137">
        <f>K126</f>
        <v>0</v>
      </c>
      <c r="L152" s="137">
        <f>L126</f>
        <v>0</v>
      </c>
      <c r="M152" s="137">
        <f>M126</f>
        <v>0</v>
      </c>
      <c r="N152" s="76">
        <f>$N$126</f>
        <v>0</v>
      </c>
      <c r="O152" s="17">
        <f>+$O$126</f>
        <v>0</v>
      </c>
      <c r="P152" s="17">
        <f>$P$126</f>
        <v>0</v>
      </c>
      <c r="Q152" s="152"/>
      <c r="R152" s="152"/>
      <c r="S152" s="152"/>
    </row>
    <row r="153" spans="2:19" ht="22.5" customHeight="1" x14ac:dyDescent="0.2">
      <c r="B153" s="184"/>
      <c r="C153" s="185"/>
      <c r="D153" s="185"/>
      <c r="E153" s="185"/>
      <c r="F153" s="339"/>
      <c r="G153" s="340"/>
      <c r="H153" s="186" t="s">
        <v>121</v>
      </c>
      <c r="I153" s="187"/>
      <c r="J153" s="187"/>
      <c r="K153" s="137">
        <f>K141</f>
        <v>0</v>
      </c>
      <c r="L153" s="137">
        <f>L141</f>
        <v>0</v>
      </c>
      <c r="M153" s="137">
        <f>M141</f>
        <v>0</v>
      </c>
      <c r="N153" s="78">
        <f>$N$141</f>
        <v>0</v>
      </c>
      <c r="O153" s="77">
        <f>$O$141</f>
        <v>0</v>
      </c>
      <c r="P153" s="77">
        <f>$O$141</f>
        <v>0</v>
      </c>
      <c r="Q153" s="152"/>
      <c r="R153" s="152"/>
      <c r="S153" s="152"/>
    </row>
    <row r="154" spans="2:19" ht="22.5" customHeight="1" x14ac:dyDescent="0.2">
      <c r="B154" s="184"/>
      <c r="C154" s="185"/>
      <c r="D154" s="185"/>
      <c r="E154" s="185"/>
      <c r="F154" s="339"/>
      <c r="G154" s="340"/>
      <c r="H154" s="169" t="s">
        <v>132</v>
      </c>
      <c r="I154" s="170"/>
      <c r="J154" s="171"/>
      <c r="K154" s="137">
        <f t="shared" ref="K154:P154" si="43">K146</f>
        <v>0</v>
      </c>
      <c r="L154" s="137">
        <f t="shared" si="43"/>
        <v>0</v>
      </c>
      <c r="M154" s="137">
        <f t="shared" si="43"/>
        <v>0</v>
      </c>
      <c r="N154" s="78">
        <f t="shared" si="43"/>
        <v>0</v>
      </c>
      <c r="O154" s="77">
        <f t="shared" si="43"/>
        <v>0</v>
      </c>
      <c r="P154" s="77">
        <f t="shared" si="43"/>
        <v>0</v>
      </c>
      <c r="Q154" s="152"/>
      <c r="R154" s="152"/>
      <c r="S154" s="152"/>
    </row>
    <row r="155" spans="2:19" ht="29.25" customHeight="1" thickBot="1" x14ac:dyDescent="0.25">
      <c r="B155" s="341"/>
      <c r="C155" s="342"/>
      <c r="D155" s="342"/>
      <c r="E155" s="342"/>
      <c r="F155" s="343"/>
      <c r="G155" s="340"/>
      <c r="H155" s="103"/>
      <c r="I155" s="104"/>
      <c r="J155" s="105" t="s">
        <v>68</v>
      </c>
      <c r="K155" s="106">
        <f>SUM(K150:K154)</f>
        <v>0</v>
      </c>
      <c r="L155" s="106">
        <f t="shared" ref="L155:M155" si="44">SUM(L150:L154)</f>
        <v>0</v>
      </c>
      <c r="M155" s="106">
        <f t="shared" si="44"/>
        <v>0</v>
      </c>
      <c r="N155" s="141">
        <f>SUM(N150:N154)</f>
        <v>0</v>
      </c>
      <c r="O155" s="142">
        <f>SUM(O150:O154)</f>
        <v>0</v>
      </c>
      <c r="P155" s="142">
        <f>SUM(P150:P154)</f>
        <v>0</v>
      </c>
      <c r="Q155" s="153"/>
      <c r="R155" s="154"/>
      <c r="S155" s="154"/>
    </row>
    <row r="156" spans="2:19" ht="38.25" customHeight="1" thickTop="1" x14ac:dyDescent="0.2">
      <c r="B156" s="338"/>
      <c r="C156" s="344"/>
      <c r="D156" s="344"/>
      <c r="E156" s="344"/>
      <c r="F156" s="344"/>
      <c r="G156" s="345"/>
      <c r="H156" s="293"/>
      <c r="I156" s="293"/>
      <c r="J156" s="294" t="s">
        <v>134</v>
      </c>
      <c r="K156" s="294"/>
      <c r="L156" s="294"/>
      <c r="M156" s="294"/>
      <c r="N156" s="294"/>
      <c r="O156" s="293"/>
      <c r="P156" s="293"/>
      <c r="Q156" s="346"/>
      <c r="R156" s="346"/>
      <c r="S156" s="346"/>
    </row>
    <row r="157" spans="2:19" ht="15.75" customHeight="1" x14ac:dyDescent="0.2">
      <c r="B157" s="79"/>
      <c r="C157" s="79"/>
      <c r="D157" s="79"/>
      <c r="E157" s="80"/>
      <c r="F157" s="81"/>
      <c r="H157" s="82"/>
      <c r="I157" s="82"/>
      <c r="J157" s="82"/>
      <c r="K157" s="99"/>
      <c r="L157" s="99"/>
      <c r="M157" s="99"/>
      <c r="N157" s="82"/>
      <c r="O157" s="83"/>
      <c r="P157" s="84"/>
      <c r="Q157" s="84"/>
      <c r="R157" s="84"/>
      <c r="S157" s="84"/>
    </row>
    <row r="158" spans="2:19" ht="15" x14ac:dyDescent="0.2">
      <c r="B158" s="100"/>
      <c r="C158" s="80"/>
      <c r="D158" s="73"/>
      <c r="E158" s="101"/>
      <c r="F158" s="102"/>
      <c r="G158" s="85"/>
    </row>
  </sheetData>
  <sheetProtection algorithmName="SHA-512" hashValue="Qb3TGRU/VHfNJnFE+vEyoqRAZo0TZwec3ftY0bUNG3pNrWmBaHsQTZwglPlDfoeC+1fw7KLnlzKW4Z3LXl5Veg==" saltValue="CoeJ34xzSA/MJH4v5lZ+RA==" spinCount="100000" sheet="1" objects="1" scenarios="1"/>
  <mergeCells count="100">
    <mergeCell ref="B1:P1"/>
    <mergeCell ref="B3:C3"/>
    <mergeCell ref="D3:P3"/>
    <mergeCell ref="B5:C5"/>
    <mergeCell ref="D5:P5"/>
    <mergeCell ref="B4:C4"/>
    <mergeCell ref="B7:S7"/>
    <mergeCell ref="E4:P4"/>
    <mergeCell ref="B30:B31"/>
    <mergeCell ref="B14:B15"/>
    <mergeCell ref="C14:C15"/>
    <mergeCell ref="B18:B19"/>
    <mergeCell ref="B20:B21"/>
    <mergeCell ref="B22:B23"/>
    <mergeCell ref="B24:B25"/>
    <mergeCell ref="D24:D25"/>
    <mergeCell ref="B28:B29"/>
    <mergeCell ref="B16:B17"/>
    <mergeCell ref="D14:D15"/>
    <mergeCell ref="B10:B13"/>
    <mergeCell ref="B8:S8"/>
    <mergeCell ref="B26:S26"/>
    <mergeCell ref="B32:B33"/>
    <mergeCell ref="H34:J34"/>
    <mergeCell ref="B36:J36"/>
    <mergeCell ref="B38:B53"/>
    <mergeCell ref="C38:C45"/>
    <mergeCell ref="D38:D45"/>
    <mergeCell ref="C46:C53"/>
    <mergeCell ref="D46:D53"/>
    <mergeCell ref="B54:B59"/>
    <mergeCell ref="C54:C56"/>
    <mergeCell ref="C57:C59"/>
    <mergeCell ref="B60:B65"/>
    <mergeCell ref="C60:C62"/>
    <mergeCell ref="C63:C65"/>
    <mergeCell ref="B66:B73"/>
    <mergeCell ref="C66:C69"/>
    <mergeCell ref="C70:C73"/>
    <mergeCell ref="B74:B77"/>
    <mergeCell ref="C74:C75"/>
    <mergeCell ref="C76:C77"/>
    <mergeCell ref="H94:J94"/>
    <mergeCell ref="B96:J96"/>
    <mergeCell ref="B99:B100"/>
    <mergeCell ref="D99:D100"/>
    <mergeCell ref="B78:B81"/>
    <mergeCell ref="C78:C79"/>
    <mergeCell ref="C80:C81"/>
    <mergeCell ref="B82:B83"/>
    <mergeCell ref="D82:D83"/>
    <mergeCell ref="B84:B91"/>
    <mergeCell ref="C84:C87"/>
    <mergeCell ref="C88:C91"/>
    <mergeCell ref="B120:B121"/>
    <mergeCell ref="B92:B93"/>
    <mergeCell ref="D92:D93"/>
    <mergeCell ref="B101:B105"/>
    <mergeCell ref="B106:B119"/>
    <mergeCell ref="C106:C112"/>
    <mergeCell ref="D106:D119"/>
    <mergeCell ref="C113:C119"/>
    <mergeCell ref="D120:D121"/>
    <mergeCell ref="D101:D105"/>
    <mergeCell ref="C101:C105"/>
    <mergeCell ref="H141:J141"/>
    <mergeCell ref="B122:B125"/>
    <mergeCell ref="C122:C123"/>
    <mergeCell ref="D122:D125"/>
    <mergeCell ref="C124:C125"/>
    <mergeCell ref="H126:J126"/>
    <mergeCell ref="B128:J128"/>
    <mergeCell ref="B130:B133"/>
    <mergeCell ref="C130:C131"/>
    <mergeCell ref="B134:B139"/>
    <mergeCell ref="C134:C139"/>
    <mergeCell ref="C132:C133"/>
    <mergeCell ref="D130:D133"/>
    <mergeCell ref="D134:D139"/>
    <mergeCell ref="H154:J154"/>
    <mergeCell ref="J156:N156"/>
    <mergeCell ref="B143:J143"/>
    <mergeCell ref="B144:F144"/>
    <mergeCell ref="B145:F145"/>
    <mergeCell ref="H146:J146"/>
    <mergeCell ref="H149:J149"/>
    <mergeCell ref="B150:E154"/>
    <mergeCell ref="H150:J150"/>
    <mergeCell ref="H151:J151"/>
    <mergeCell ref="H152:J152"/>
    <mergeCell ref="H153:J153"/>
    <mergeCell ref="D74:D77"/>
    <mergeCell ref="D78:D81"/>
    <mergeCell ref="D84:D91"/>
    <mergeCell ref="D20:D21"/>
    <mergeCell ref="D22:D23"/>
    <mergeCell ref="D60:D65"/>
    <mergeCell ref="D54:D56"/>
    <mergeCell ref="D57:D59"/>
    <mergeCell ref="D66:D73"/>
  </mergeCells>
  <printOptions horizontalCentered="1"/>
  <pageMargins left="0.4" right="0.5" top="0.75" bottom="0.5" header="0.5" footer="0.3"/>
  <pageSetup scale="40" fitToHeight="0" orientation="landscape" verticalDpi="1200" r:id="rId1"/>
  <headerFooter>
    <oddHeader>&amp;C&amp;"Times New Roman,Regular"&amp;12 2018 CDFA HSP Incentives Program
Budget Worksheet Template</oddHeader>
  </headerFooter>
  <ignoredErrors>
    <ignoredError sqref="N14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342900</xdr:colOff>
                    <xdr:row>148</xdr:row>
                    <xdr:rowOff>723900</xdr:rowOff>
                  </from>
                  <to>
                    <xdr:col>1</xdr:col>
                    <xdr:colOff>581025</xdr:colOff>
                    <xdr:row>149</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'Cobenefit Tables'!$C$1:$BH$1</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44"/>
  <sheetViews>
    <sheetView workbookViewId="0">
      <selection activeCell="C47" sqref="C47"/>
    </sheetView>
  </sheetViews>
  <sheetFormatPr defaultRowHeight="15" x14ac:dyDescent="0.25"/>
  <cols>
    <col min="1" max="1" width="93" bestFit="1" customWidth="1"/>
    <col min="2" max="2" width="4.5703125" style="145" bestFit="1" customWidth="1"/>
    <col min="3" max="9" width="6.28515625" bestFit="1" customWidth="1"/>
    <col min="10" max="10" width="6.5703125" bestFit="1" customWidth="1"/>
    <col min="11" max="60" width="6.28515625" bestFit="1" customWidth="1"/>
  </cols>
  <sheetData>
    <row r="1" spans="1:60" s="122" customFormat="1" ht="78.75" thickBot="1" x14ac:dyDescent="0.3">
      <c r="A1" s="163" t="s">
        <v>276</v>
      </c>
      <c r="B1" s="144"/>
      <c r="C1" s="130" t="s">
        <v>205</v>
      </c>
      <c r="D1" s="130" t="s">
        <v>206</v>
      </c>
      <c r="E1" s="130" t="s">
        <v>207</v>
      </c>
      <c r="F1" s="130" t="s">
        <v>208</v>
      </c>
      <c r="G1" s="130" t="s">
        <v>209</v>
      </c>
      <c r="H1" s="130" t="s">
        <v>210</v>
      </c>
      <c r="I1" s="130" t="s">
        <v>211</v>
      </c>
      <c r="J1" s="130" t="s">
        <v>212</v>
      </c>
      <c r="K1" s="130" t="s">
        <v>213</v>
      </c>
      <c r="L1" s="130" t="s">
        <v>214</v>
      </c>
      <c r="M1" s="130" t="s">
        <v>215</v>
      </c>
      <c r="N1" s="130" t="s">
        <v>216</v>
      </c>
      <c r="O1" s="130" t="s">
        <v>217</v>
      </c>
      <c r="P1" s="130" t="s">
        <v>218</v>
      </c>
      <c r="Q1" s="130" t="s">
        <v>219</v>
      </c>
      <c r="R1" s="130" t="s">
        <v>220</v>
      </c>
      <c r="S1" s="130" t="s">
        <v>221</v>
      </c>
      <c r="T1" s="130" t="s">
        <v>222</v>
      </c>
      <c r="U1" s="130" t="s">
        <v>223</v>
      </c>
      <c r="V1" s="130" t="s">
        <v>224</v>
      </c>
      <c r="W1" s="130" t="s">
        <v>225</v>
      </c>
      <c r="X1" s="130" t="s">
        <v>226</v>
      </c>
      <c r="Y1" s="130" t="s">
        <v>227</v>
      </c>
      <c r="Z1" s="130" t="s">
        <v>228</v>
      </c>
      <c r="AA1" s="130" t="s">
        <v>229</v>
      </c>
      <c r="AB1" s="130" t="s">
        <v>230</v>
      </c>
      <c r="AC1" s="130" t="s">
        <v>231</v>
      </c>
      <c r="AD1" s="130" t="s">
        <v>232</v>
      </c>
      <c r="AE1" s="130" t="s">
        <v>233</v>
      </c>
      <c r="AF1" s="130" t="s">
        <v>234</v>
      </c>
      <c r="AG1" s="130" t="s">
        <v>235</v>
      </c>
      <c r="AH1" s="130" t="s">
        <v>236</v>
      </c>
      <c r="AI1" s="130" t="s">
        <v>237</v>
      </c>
      <c r="AJ1" s="130" t="s">
        <v>238</v>
      </c>
      <c r="AK1" s="130" t="s">
        <v>239</v>
      </c>
      <c r="AL1" s="130" t="s">
        <v>240</v>
      </c>
      <c r="AM1" s="130" t="s">
        <v>241</v>
      </c>
      <c r="AN1" s="130" t="s">
        <v>242</v>
      </c>
      <c r="AO1" s="130" t="s">
        <v>243</v>
      </c>
      <c r="AP1" s="130" t="s">
        <v>244</v>
      </c>
      <c r="AQ1" s="130" t="s">
        <v>245</v>
      </c>
      <c r="AR1" s="130" t="s">
        <v>246</v>
      </c>
      <c r="AS1" s="130" t="s">
        <v>247</v>
      </c>
      <c r="AT1" s="130" t="s">
        <v>248</v>
      </c>
      <c r="AU1" s="130" t="s">
        <v>249</v>
      </c>
      <c r="AV1" s="130" t="s">
        <v>250</v>
      </c>
      <c r="AW1" s="130" t="s">
        <v>251</v>
      </c>
      <c r="AX1" s="130" t="s">
        <v>252</v>
      </c>
      <c r="AY1" s="130" t="s">
        <v>253</v>
      </c>
      <c r="AZ1" s="130" t="s">
        <v>254</v>
      </c>
      <c r="BA1" s="130" t="s">
        <v>255</v>
      </c>
      <c r="BB1" s="130" t="s">
        <v>256</v>
      </c>
      <c r="BC1" s="130" t="s">
        <v>257</v>
      </c>
      <c r="BD1" s="130" t="s">
        <v>258</v>
      </c>
      <c r="BE1" s="130" t="s">
        <v>259</v>
      </c>
      <c r="BF1" s="130" t="s">
        <v>260</v>
      </c>
      <c r="BG1" s="130" t="s">
        <v>261</v>
      </c>
      <c r="BH1" s="131" t="s">
        <v>262</v>
      </c>
    </row>
    <row r="2" spans="1:60" ht="15.75" thickTop="1" x14ac:dyDescent="0.25"/>
    <row r="3" spans="1:60" s="122" customFormat="1" ht="78.75" thickBot="1" x14ac:dyDescent="0.3">
      <c r="A3" s="121" t="s">
        <v>204</v>
      </c>
      <c r="B3" s="149">
        <v>1</v>
      </c>
      <c r="C3" s="130" t="s">
        <v>205</v>
      </c>
      <c r="D3" s="130" t="s">
        <v>206</v>
      </c>
      <c r="E3" s="130" t="s">
        <v>207</v>
      </c>
      <c r="F3" s="130" t="s">
        <v>208</v>
      </c>
      <c r="G3" s="130" t="s">
        <v>209</v>
      </c>
      <c r="H3" s="130" t="s">
        <v>210</v>
      </c>
      <c r="I3" s="130" t="s">
        <v>211</v>
      </c>
      <c r="J3" s="130" t="s">
        <v>212</v>
      </c>
      <c r="K3" s="130" t="s">
        <v>213</v>
      </c>
      <c r="L3" s="130" t="s">
        <v>214</v>
      </c>
      <c r="M3" s="130" t="s">
        <v>215</v>
      </c>
      <c r="N3" s="130" t="s">
        <v>216</v>
      </c>
      <c r="O3" s="130" t="s">
        <v>217</v>
      </c>
      <c r="P3" s="130" t="s">
        <v>218</v>
      </c>
      <c r="Q3" s="130" t="s">
        <v>219</v>
      </c>
      <c r="R3" s="130" t="s">
        <v>220</v>
      </c>
      <c r="S3" s="130" t="s">
        <v>221</v>
      </c>
      <c r="T3" s="130" t="s">
        <v>222</v>
      </c>
      <c r="U3" s="130" t="s">
        <v>223</v>
      </c>
      <c r="V3" s="130" t="s">
        <v>224</v>
      </c>
      <c r="W3" s="130" t="s">
        <v>225</v>
      </c>
      <c r="X3" s="130" t="s">
        <v>226</v>
      </c>
      <c r="Y3" s="130" t="s">
        <v>227</v>
      </c>
      <c r="Z3" s="130" t="s">
        <v>228</v>
      </c>
      <c r="AA3" s="130" t="s">
        <v>229</v>
      </c>
      <c r="AB3" s="130" t="s">
        <v>230</v>
      </c>
      <c r="AC3" s="130" t="s">
        <v>231</v>
      </c>
      <c r="AD3" s="130" t="s">
        <v>232</v>
      </c>
      <c r="AE3" s="130" t="s">
        <v>233</v>
      </c>
      <c r="AF3" s="130" t="s">
        <v>234</v>
      </c>
      <c r="AG3" s="130" t="s">
        <v>235</v>
      </c>
      <c r="AH3" s="130" t="s">
        <v>236</v>
      </c>
      <c r="AI3" s="130" t="s">
        <v>237</v>
      </c>
      <c r="AJ3" s="130" t="s">
        <v>238</v>
      </c>
      <c r="AK3" s="130" t="s">
        <v>239</v>
      </c>
      <c r="AL3" s="130" t="s">
        <v>240</v>
      </c>
      <c r="AM3" s="130" t="s">
        <v>241</v>
      </c>
      <c r="AN3" s="130" t="s">
        <v>242</v>
      </c>
      <c r="AO3" s="130" t="s">
        <v>243</v>
      </c>
      <c r="AP3" s="130" t="s">
        <v>244</v>
      </c>
      <c r="AQ3" s="130" t="s">
        <v>245</v>
      </c>
      <c r="AR3" s="130" t="s">
        <v>246</v>
      </c>
      <c r="AS3" s="130" t="s">
        <v>247</v>
      </c>
      <c r="AT3" s="130" t="s">
        <v>248</v>
      </c>
      <c r="AU3" s="130" t="s">
        <v>249</v>
      </c>
      <c r="AV3" s="130" t="s">
        <v>250</v>
      </c>
      <c r="AW3" s="130" t="s">
        <v>251</v>
      </c>
      <c r="AX3" s="130" t="s">
        <v>252</v>
      </c>
      <c r="AY3" s="130" t="s">
        <v>253</v>
      </c>
      <c r="AZ3" s="130" t="s">
        <v>254</v>
      </c>
      <c r="BA3" s="130" t="s">
        <v>255</v>
      </c>
      <c r="BB3" s="130" t="s">
        <v>256</v>
      </c>
      <c r="BC3" s="130" t="s">
        <v>257</v>
      </c>
      <c r="BD3" s="130" t="s">
        <v>258</v>
      </c>
      <c r="BE3" s="130" t="s">
        <v>259</v>
      </c>
      <c r="BF3" s="130" t="s">
        <v>260</v>
      </c>
      <c r="BG3" s="130" t="s">
        <v>261</v>
      </c>
      <c r="BH3" s="131" t="s">
        <v>262</v>
      </c>
    </row>
    <row r="4" spans="1:60" ht="15.75" thickTop="1" x14ac:dyDescent="0.25">
      <c r="A4" s="123" t="s">
        <v>263</v>
      </c>
      <c r="B4" s="143">
        <v>2</v>
      </c>
      <c r="C4" s="124">
        <v>-4.5692489389018542E-2</v>
      </c>
      <c r="D4" s="124">
        <v>-3.7789552904049978E-2</v>
      </c>
      <c r="E4" s="124">
        <v>-2.2611993592822819E-2</v>
      </c>
      <c r="F4" s="124">
        <v>-6.0226518106512431E-2</v>
      </c>
      <c r="G4" s="124">
        <v>-0.12451242652247115</v>
      </c>
      <c r="H4" s="124">
        <v>-4.2318561167547918E-2</v>
      </c>
      <c r="I4" s="124">
        <v>-0.12912973967693003</v>
      </c>
      <c r="J4" s="124">
        <v>5.0191219031385938E-2</v>
      </c>
      <c r="K4" s="124">
        <v>-6.5520121121314778E-2</v>
      </c>
      <c r="L4" s="124">
        <v>-9.3608195790251439E-2</v>
      </c>
      <c r="M4" s="124">
        <v>-4.2872791008021993E-2</v>
      </c>
      <c r="N4" s="124">
        <v>-2.330650771624946E-2</v>
      </c>
      <c r="O4" s="124">
        <v>-2.7335852018823985E-2</v>
      </c>
      <c r="P4" s="124">
        <v>-1.5413000845319935E-2</v>
      </c>
      <c r="Q4" s="124">
        <v>-7.4366221807926319E-2</v>
      </c>
      <c r="R4" s="124">
        <v>-6.959945005309448E-2</v>
      </c>
      <c r="S4" s="124">
        <v>-9.3706737686208616E-2</v>
      </c>
      <c r="T4" s="124">
        <v>2.9728611153391387E-3</v>
      </c>
      <c r="U4" s="124">
        <v>-4.8130967567809664E-2</v>
      </c>
      <c r="V4" s="124">
        <v>-7.8505032089580054E-2</v>
      </c>
      <c r="W4" s="124">
        <v>-3.5894672008125524E-2</v>
      </c>
      <c r="X4" s="124">
        <v>-6.3814913276278107E-3</v>
      </c>
      <c r="Y4" s="124">
        <v>-3.5241112122466695E-2</v>
      </c>
      <c r="Z4" s="124">
        <v>-0.11190515718433629</v>
      </c>
      <c r="AA4" s="124">
        <v>3.5468209125011328E-3</v>
      </c>
      <c r="AB4" s="124">
        <v>3.766717886141511E-5</v>
      </c>
      <c r="AC4" s="124">
        <v>-4.7491355848610167E-2</v>
      </c>
      <c r="AD4" s="124">
        <v>-5.2819084220060403E-2</v>
      </c>
      <c r="AE4" s="124">
        <v>-3.4948881384040141E-2</v>
      </c>
      <c r="AF4" s="124">
        <v>-0.16697954708786025</v>
      </c>
      <c r="AG4" s="124">
        <v>-3.2068427444495527E-2</v>
      </c>
      <c r="AH4" s="124">
        <v>5.8929825213253342E-4</v>
      </c>
      <c r="AI4" s="124">
        <v>-5.7877617418088723E-2</v>
      </c>
      <c r="AJ4" s="124">
        <v>-0.18622015037375966</v>
      </c>
      <c r="AK4" s="124">
        <v>-9.5741041989741885E-2</v>
      </c>
      <c r="AL4" s="124">
        <v>-5.1343344285291165E-2</v>
      </c>
      <c r="AM4" s="124">
        <v>-9.6045983066707794E-2</v>
      </c>
      <c r="AN4" s="124">
        <v>-8.690990586546167E-2</v>
      </c>
      <c r="AO4" s="124">
        <v>-0.15889327575980136</v>
      </c>
      <c r="AP4" s="124">
        <v>-4.8200582532122303E-2</v>
      </c>
      <c r="AQ4" s="124">
        <v>-2.4006942991410343E-2</v>
      </c>
      <c r="AR4" s="124">
        <v>-4.8778717451957124E-2</v>
      </c>
      <c r="AS4" s="124">
        <v>-7.9624651054541765E-2</v>
      </c>
      <c r="AT4" s="124">
        <v>-4.9690650392387861E-2</v>
      </c>
      <c r="AU4" s="124">
        <v>4.5705993151411908E-3</v>
      </c>
      <c r="AV4" s="124">
        <v>3.0230559717926036E-3</v>
      </c>
      <c r="AW4" s="124">
        <v>-1.2144028110174707E-4</v>
      </c>
      <c r="AX4" s="124">
        <v>-7.7295471099581931E-2</v>
      </c>
      <c r="AY4" s="124">
        <v>-5.1726865152655593E-2</v>
      </c>
      <c r="AZ4" s="124">
        <v>-9.0539363867493117E-2</v>
      </c>
      <c r="BA4" s="124">
        <v>-9.9305602372360663E-2</v>
      </c>
      <c r="BB4" s="124">
        <v>-0.17931515152417013</v>
      </c>
      <c r="BC4" s="124">
        <v>-3.6816651152016752E-2</v>
      </c>
      <c r="BD4" s="124">
        <v>-0.14195184989303991</v>
      </c>
      <c r="BE4" s="124">
        <v>-2.5227651533295703E-2</v>
      </c>
      <c r="BF4" s="124">
        <v>-9.2899371012141144E-2</v>
      </c>
      <c r="BG4" s="124">
        <v>-0.11244232622694859</v>
      </c>
      <c r="BH4" s="125">
        <v>-0.11445291241446805</v>
      </c>
    </row>
    <row r="5" spans="1:60" x14ac:dyDescent="0.25">
      <c r="A5" s="123" t="s">
        <v>264</v>
      </c>
      <c r="B5" s="143">
        <v>3</v>
      </c>
      <c r="C5" s="124">
        <v>6.770328561583658E-3</v>
      </c>
      <c r="D5" s="124">
        <v>-2.4213751936404362E-2</v>
      </c>
      <c r="E5" s="124">
        <v>1.416758821861298E-2</v>
      </c>
      <c r="F5" s="124">
        <v>4.3122411918522924E-2</v>
      </c>
      <c r="G5" s="124">
        <v>-8.4447968702619183E-2</v>
      </c>
      <c r="H5" s="124">
        <v>1.9407764031809198E-3</v>
      </c>
      <c r="I5" s="124">
        <v>9.9321253439109136E-3</v>
      </c>
      <c r="J5" s="124">
        <v>0.10314396772759678</v>
      </c>
      <c r="K5" s="124">
        <v>-2.2817255158100326E-2</v>
      </c>
      <c r="L5" s="124">
        <v>-4.2228882166339366E-3</v>
      </c>
      <c r="M5" s="124">
        <v>5.9474846186689495E-2</v>
      </c>
      <c r="N5" s="124">
        <v>4.184482626236629E-2</v>
      </c>
      <c r="O5" s="124">
        <v>3.4993140955349958E-2</v>
      </c>
      <c r="P5" s="124">
        <v>9.7964842319683623E-3</v>
      </c>
      <c r="Q5" s="124">
        <v>-2.0751664913148529E-5</v>
      </c>
      <c r="R5" s="124">
        <v>6.9734957808268022E-3</v>
      </c>
      <c r="S5" s="124">
        <v>-1.6570575547778851E-2</v>
      </c>
      <c r="T5" s="124">
        <v>2.3471792724711559E-3</v>
      </c>
      <c r="U5" s="124">
        <v>1.6125536750222547E-2</v>
      </c>
      <c r="V5" s="124">
        <v>-1.8542847597017582E-2</v>
      </c>
      <c r="W5" s="124">
        <v>4.2307574119981338E-2</v>
      </c>
      <c r="X5" s="124">
        <v>1.3919113652121212E-3</v>
      </c>
      <c r="Y5" s="124">
        <v>6.5637851712653681E-3</v>
      </c>
      <c r="Z5" s="124">
        <v>4.9799022759155771E-4</v>
      </c>
      <c r="AA5" s="124">
        <v>5.7971187604027386E-3</v>
      </c>
      <c r="AB5" s="124">
        <v>2.9595819082824072E-5</v>
      </c>
      <c r="AC5" s="124">
        <v>6.6033428411254189E-2</v>
      </c>
      <c r="AD5" s="124">
        <v>1.419948908731446E-2</v>
      </c>
      <c r="AE5" s="124">
        <v>9.5808711079734866E-4</v>
      </c>
      <c r="AF5" s="124">
        <v>9.091948847185477E-2</v>
      </c>
      <c r="AG5" s="124">
        <v>1.0629025417049491E-2</v>
      </c>
      <c r="AH5" s="124">
        <v>3.9081189432311369E-4</v>
      </c>
      <c r="AI5" s="124">
        <v>4.7201385604362635E-2</v>
      </c>
      <c r="AJ5" s="124">
        <v>-2.2255666450931726E-2</v>
      </c>
      <c r="AK5" s="124">
        <v>2.6627439149338513E-2</v>
      </c>
      <c r="AL5" s="124">
        <v>-5.9679318713248683E-3</v>
      </c>
      <c r="AM5" s="124">
        <v>0.11748485358877979</v>
      </c>
      <c r="AN5" s="124">
        <v>2.6464552914393771E-2</v>
      </c>
      <c r="AO5" s="124">
        <v>-6.8751290044226678E-3</v>
      </c>
      <c r="AP5" s="124">
        <v>2.0251359644611024E-2</v>
      </c>
      <c r="AQ5" s="124">
        <v>5.549399150578728E-2</v>
      </c>
      <c r="AR5" s="124">
        <v>2.8527865180010097E-2</v>
      </c>
      <c r="AS5" s="124">
        <v>2.9670753274031444E-2</v>
      </c>
      <c r="AT5" s="124">
        <v>1.382105273275022E-2</v>
      </c>
      <c r="AU5" s="124">
        <v>4.4006516027245606E-3</v>
      </c>
      <c r="AV5" s="124">
        <v>2.0814857143893859E-3</v>
      </c>
      <c r="AW5" s="124">
        <v>7.7080459820055811E-5</v>
      </c>
      <c r="AX5" s="124">
        <v>1.0218218388263527E-2</v>
      </c>
      <c r="AY5" s="124">
        <v>1.7783252000241473E-2</v>
      </c>
      <c r="AZ5" s="124">
        <v>1.3160803184380027E-2</v>
      </c>
      <c r="BA5" s="124">
        <v>-1.9214353482612793E-2</v>
      </c>
      <c r="BB5" s="124">
        <v>-2.6105668815383908E-2</v>
      </c>
      <c r="BC5" s="124">
        <v>6.8011823161105668E-3</v>
      </c>
      <c r="BD5" s="124">
        <v>-2.4961776075110364E-2</v>
      </c>
      <c r="BE5" s="124">
        <v>4.9427028460040778E-3</v>
      </c>
      <c r="BF5" s="124">
        <v>6.6157024641763235E-2</v>
      </c>
      <c r="BG5" s="124">
        <v>-9.0924918152542732E-3</v>
      </c>
      <c r="BH5" s="125">
        <v>-3.5677543687982941E-2</v>
      </c>
    </row>
    <row r="6" spans="1:60" x14ac:dyDescent="0.25">
      <c r="A6" s="123" t="s">
        <v>83</v>
      </c>
      <c r="B6" s="143">
        <v>4</v>
      </c>
      <c r="C6" s="124">
        <v>-0.10546393382039232</v>
      </c>
      <c r="D6" s="124">
        <v>-0.12617002745924094</v>
      </c>
      <c r="E6" s="124">
        <v>-9.1899672412359384E-2</v>
      </c>
      <c r="F6" s="124">
        <v>-0.16212685764764992</v>
      </c>
      <c r="G6" s="124">
        <v>-9.0072118988505243E-2</v>
      </c>
      <c r="H6" s="124">
        <v>-0.10724279894975557</v>
      </c>
      <c r="I6" s="124">
        <v>-0.1790880398942985</v>
      </c>
      <c r="J6" s="124">
        <v>-0.11374534149463213</v>
      </c>
      <c r="K6" s="124">
        <v>-8.9680621507202518E-2</v>
      </c>
      <c r="L6" s="124">
        <v>-0.10668205315104867</v>
      </c>
      <c r="M6" s="124">
        <v>-0.12608985081664117</v>
      </c>
      <c r="N6" s="124">
        <v>-9.7587883319431704E-2</v>
      </c>
      <c r="O6" s="124">
        <v>-0.11069374352641884</v>
      </c>
      <c r="P6" s="124">
        <v>-5.5997033596263283E-2</v>
      </c>
      <c r="Q6" s="124">
        <v>-0.10028521463801329</v>
      </c>
      <c r="R6" s="124">
        <v>-0.1298206927509159</v>
      </c>
      <c r="S6" s="124">
        <v>-9.8918502733545674E-2</v>
      </c>
      <c r="T6" s="124">
        <v>-5.9440723439650692E-2</v>
      </c>
      <c r="U6" s="124">
        <v>-0.10608449492697264</v>
      </c>
      <c r="V6" s="124">
        <v>-0.10415205874886427</v>
      </c>
      <c r="W6" s="124">
        <v>-0.11541717273807051</v>
      </c>
      <c r="X6" s="124">
        <v>-0.10252159129752698</v>
      </c>
      <c r="Y6" s="124">
        <v>-8.4943058358253276E-2</v>
      </c>
      <c r="Z6" s="124">
        <v>-0.1574304790769831</v>
      </c>
      <c r="AA6" s="124">
        <v>-5.9669429761701358E-2</v>
      </c>
      <c r="AB6" s="124">
        <v>-1.278004505935567E-2</v>
      </c>
      <c r="AC6" s="124">
        <v>-0.13177747771818493</v>
      </c>
      <c r="AD6" s="124">
        <v>-6.6157283218114593E-2</v>
      </c>
      <c r="AE6" s="124">
        <v>-0.11274804571688267</v>
      </c>
      <c r="AF6" s="124">
        <v>-0.15890610499041594</v>
      </c>
      <c r="AG6" s="124">
        <v>-0.11552340047552045</v>
      </c>
      <c r="AH6" s="124">
        <v>-5.0957613430866959E-2</v>
      </c>
      <c r="AI6" s="124">
        <v>-0.10763638592566932</v>
      </c>
      <c r="AJ6" s="124">
        <v>-0.22707049366389953</v>
      </c>
      <c r="AK6" s="124">
        <v>-0.10718915212324298</v>
      </c>
      <c r="AL6" s="124">
        <v>-0.10146915816967851</v>
      </c>
      <c r="AM6" s="124">
        <v>-0.12597158038882106</v>
      </c>
      <c r="AN6" s="124">
        <v>-0.12176074018227349</v>
      </c>
      <c r="AO6" s="124">
        <v>-0.17513416439469093</v>
      </c>
      <c r="AP6" s="124">
        <v>-0.10333156489423151</v>
      </c>
      <c r="AQ6" s="124">
        <v>-0.1084937683938523</v>
      </c>
      <c r="AR6" s="124">
        <v>-0.12473031418820849</v>
      </c>
      <c r="AS6" s="124">
        <v>-0.12378001995204639</v>
      </c>
      <c r="AT6" s="124">
        <v>-0.12324294689817904</v>
      </c>
      <c r="AU6" s="124">
        <v>-7.0700980941329594E-2</v>
      </c>
      <c r="AV6" s="124">
        <v>-6.0073774555904791E-2</v>
      </c>
      <c r="AW6" s="124">
        <v>-2.6968384723249458E-2</v>
      </c>
      <c r="AX6" s="124">
        <v>-0.15369988304710236</v>
      </c>
      <c r="AY6" s="124">
        <v>-8.9973802435347833E-2</v>
      </c>
      <c r="AZ6" s="124">
        <v>-0.13988489265579171</v>
      </c>
      <c r="BA6" s="124">
        <v>-0.1444736415882186</v>
      </c>
      <c r="BB6" s="124">
        <v>-0.15821150439898216</v>
      </c>
      <c r="BC6" s="124">
        <v>-0.10005426063031443</v>
      </c>
      <c r="BD6" s="124">
        <v>-0.14556770494516144</v>
      </c>
      <c r="BE6" s="124">
        <v>-0.10618818895554014</v>
      </c>
      <c r="BF6" s="124">
        <v>-0.13525852103032904</v>
      </c>
      <c r="BG6" s="124">
        <v>-0.14553855837206497</v>
      </c>
      <c r="BH6" s="125">
        <v>-0.12486406265274863</v>
      </c>
    </row>
    <row r="7" spans="1:60" x14ac:dyDescent="0.25">
      <c r="A7" s="123" t="s">
        <v>13</v>
      </c>
      <c r="B7" s="143">
        <v>5</v>
      </c>
      <c r="C7" s="124">
        <v>-9.221606597521699E-3</v>
      </c>
      <c r="D7" s="124">
        <v>-0.18059707035180034</v>
      </c>
      <c r="E7" s="124">
        <v>-1.4407064624441289E-2</v>
      </c>
      <c r="F7" s="124">
        <v>0.21159135635003706</v>
      </c>
      <c r="G7" s="124">
        <v>-3.5014334209738056E-4</v>
      </c>
      <c r="H7" s="124">
        <v>0.22391877353312065</v>
      </c>
      <c r="I7" s="124">
        <v>-6.5332549796289635E-3</v>
      </c>
      <c r="J7" s="124">
        <v>-0.37709757131630267</v>
      </c>
      <c r="K7" s="124">
        <v>-9.7091074940548836E-3</v>
      </c>
      <c r="L7" s="124">
        <v>-1.3474925348676354E-2</v>
      </c>
      <c r="M7" s="124">
        <v>0.10052845343576988</v>
      </c>
      <c r="N7" s="124">
        <v>-0.1578637186221184</v>
      </c>
      <c r="O7" s="124">
        <v>-3.0862948507732836E-2</v>
      </c>
      <c r="P7" s="124">
        <v>-2.5358474310573562E-2</v>
      </c>
      <c r="Q7" s="124">
        <v>2.2624925119591145E-3</v>
      </c>
      <c r="R7" s="124">
        <v>-7.107037648603722E-3</v>
      </c>
      <c r="S7" s="124">
        <v>-9.6929438697662615E-3</v>
      </c>
      <c r="T7" s="124">
        <v>-1.1640342488460513E-2</v>
      </c>
      <c r="U7" s="124">
        <v>-8.1741607568629592E-3</v>
      </c>
      <c r="V7" s="124">
        <v>1.8066700528963801E-2</v>
      </c>
      <c r="W7" s="124">
        <v>-7.7312360483428183E-2</v>
      </c>
      <c r="X7" s="124">
        <v>-3.2078478047098333E-3</v>
      </c>
      <c r="Y7" s="124">
        <v>-3.8628317942815835E-2</v>
      </c>
      <c r="Z7" s="124">
        <v>6.3287131058300874E-3</v>
      </c>
      <c r="AA7" s="124">
        <v>-1.4753139840393994E-2</v>
      </c>
      <c r="AB7" s="124">
        <v>-5.574548062311736E-3</v>
      </c>
      <c r="AC7" s="124">
        <v>-6.604050667164145E-2</v>
      </c>
      <c r="AD7" s="124">
        <v>-2.2035286404370365E-3</v>
      </c>
      <c r="AE7" s="124">
        <v>-0.11071197741129959</v>
      </c>
      <c r="AF7" s="124">
        <v>-3.7014118934144927E-2</v>
      </c>
      <c r="AG7" s="124">
        <v>9.9868262669159893E-2</v>
      </c>
      <c r="AH7" s="124">
        <v>-6.5804462724709288E-3</v>
      </c>
      <c r="AI7" s="124">
        <v>-3.4421002670604957E-3</v>
      </c>
      <c r="AJ7" s="124">
        <v>6.6076887422505896E-3</v>
      </c>
      <c r="AK7" s="124">
        <v>-7.9268577637297222E-2</v>
      </c>
      <c r="AL7" s="124">
        <v>-1.766871864259947E-3</v>
      </c>
      <c r="AM7" s="124">
        <v>-2.6367731639205193E-3</v>
      </c>
      <c r="AN7" s="124">
        <v>-6.2315246025411643E-2</v>
      </c>
      <c r="AO7" s="124">
        <v>-2.9973178876204855E-2</v>
      </c>
      <c r="AP7" s="124">
        <v>-3.4941190375111258E-2</v>
      </c>
      <c r="AQ7" s="124">
        <v>-5.1212280300053883E-2</v>
      </c>
      <c r="AR7" s="124">
        <v>-4.5918692557066022E-2</v>
      </c>
      <c r="AS7" s="124">
        <v>-4.925389679576396E-2</v>
      </c>
      <c r="AT7" s="124">
        <v>-4.9271236197363864E-2</v>
      </c>
      <c r="AU7" s="124">
        <v>-1.9626928747092376E-2</v>
      </c>
      <c r="AV7" s="124">
        <v>-5.4476096898702905E-2</v>
      </c>
      <c r="AW7" s="124">
        <v>-3.6511898735153768E-3</v>
      </c>
      <c r="AX7" s="124">
        <v>-2.8456711865940506E-2</v>
      </c>
      <c r="AY7" s="124">
        <v>-2.1409654480146072E-2</v>
      </c>
      <c r="AZ7" s="124">
        <v>-5.3002508685283736E-3</v>
      </c>
      <c r="BA7" s="124">
        <v>0.11822586158952235</v>
      </c>
      <c r="BB7" s="124">
        <v>6.2722624897767511E-3</v>
      </c>
      <c r="BC7" s="124">
        <v>-2.009259742445477E-2</v>
      </c>
      <c r="BD7" s="124">
        <v>7.715856339442005E-3</v>
      </c>
      <c r="BE7" s="124">
        <v>-6.6943094982730841E-3</v>
      </c>
      <c r="BF7" s="124">
        <v>-6.4839393099320755E-2</v>
      </c>
      <c r="BG7" s="124">
        <v>1.5535700900421959E-2</v>
      </c>
      <c r="BH7" s="125">
        <v>0.16631182636689273</v>
      </c>
    </row>
    <row r="8" spans="1:60" x14ac:dyDescent="0.25">
      <c r="A8" s="123" t="s">
        <v>16</v>
      </c>
      <c r="B8" s="143">
        <v>6</v>
      </c>
      <c r="C8" s="124">
        <v>-9.0654374586817148E-4</v>
      </c>
      <c r="D8" s="124">
        <v>0</v>
      </c>
      <c r="E8" s="124">
        <v>-5.1910503446060586E-5</v>
      </c>
      <c r="F8" s="124">
        <v>-3.3672134579014305E-4</v>
      </c>
      <c r="G8" s="124">
        <v>-9.5265490143356922E-5</v>
      </c>
      <c r="H8" s="124">
        <v>-1.8574399978843416E-3</v>
      </c>
      <c r="I8" s="124">
        <v>4.4293140667418259E-4</v>
      </c>
      <c r="J8" s="124">
        <v>-1.9722230790011799E-2</v>
      </c>
      <c r="K8" s="124">
        <v>-4.3593140497563091E-4</v>
      </c>
      <c r="L8" s="124">
        <v>-3.3455745766605353E-3</v>
      </c>
      <c r="M8" s="124">
        <v>-1.748213034357069E-4</v>
      </c>
      <c r="N8" s="124">
        <v>-1.3585247028020631E-3</v>
      </c>
      <c r="O8" s="124">
        <v>-2.2745879295727493E-3</v>
      </c>
      <c r="P8" s="124">
        <v>1.9693943573270173E-5</v>
      </c>
      <c r="Q8" s="124">
        <v>-7.412587245486141E-4</v>
      </c>
      <c r="R8" s="124">
        <v>-1.4750245894288271E-4</v>
      </c>
      <c r="S8" s="124">
        <v>4.1485684004174836E-4</v>
      </c>
      <c r="T8" s="124">
        <v>-9.6865433125764233E-5</v>
      </c>
      <c r="U8" s="124">
        <v>3.9148990278689718E-4</v>
      </c>
      <c r="V8" s="124">
        <v>-1.4260798869455128E-5</v>
      </c>
      <c r="W8" s="124">
        <v>-1.2938460200505612E-3</v>
      </c>
      <c r="X8" s="124">
        <v>-1.0776686941466604E-4</v>
      </c>
      <c r="Y8" s="124">
        <v>-5.6278047140244187E-3</v>
      </c>
      <c r="Z8" s="124">
        <v>-2.0744883277017843E-3</v>
      </c>
      <c r="AA8" s="124">
        <v>-3.9045136217895046E-5</v>
      </c>
      <c r="AB8" s="124">
        <v>0</v>
      </c>
      <c r="AC8" s="124">
        <v>-1.6742033729999772E-2</v>
      </c>
      <c r="AD8" s="124">
        <v>-3.7691176415811218E-3</v>
      </c>
      <c r="AE8" s="124">
        <v>-2.0736733041225777E-4</v>
      </c>
      <c r="AF8" s="124">
        <v>-2.5574835457333606E-3</v>
      </c>
      <c r="AG8" s="124">
        <v>-9.7500462358985759E-5</v>
      </c>
      <c r="AH8" s="124">
        <v>-3.766718346966473E-5</v>
      </c>
      <c r="AI8" s="124">
        <v>1.7806871671047836E-3</v>
      </c>
      <c r="AJ8" s="124">
        <v>-6.5523826904186923E-4</v>
      </c>
      <c r="AK8" s="124">
        <v>-1.6531020554923514E-2</v>
      </c>
      <c r="AL8" s="124">
        <v>-2.1909671691328129E-4</v>
      </c>
      <c r="AM8" s="124">
        <v>3.9430430512187037E-4</v>
      </c>
      <c r="AN8" s="124">
        <v>-9.9591795750046362E-3</v>
      </c>
      <c r="AO8" s="124">
        <v>-1.8451310105921642E-3</v>
      </c>
      <c r="AP8" s="124">
        <v>-1.7850935155945204E-3</v>
      </c>
      <c r="AQ8" s="124">
        <v>-8.9469979225551433E-3</v>
      </c>
      <c r="AR8" s="124">
        <v>2.9731409793530107E-5</v>
      </c>
      <c r="AS8" s="124">
        <v>-7.5274999169060979E-3</v>
      </c>
      <c r="AT8" s="124">
        <v>-1.147271841049275E-3</v>
      </c>
      <c r="AU8" s="124">
        <v>-1.769677027362743E-4</v>
      </c>
      <c r="AV8" s="124">
        <v>0</v>
      </c>
      <c r="AW8" s="124">
        <v>7.2134425652350259E-4</v>
      </c>
      <c r="AX8" s="124">
        <v>-2.7535349560219233E-3</v>
      </c>
      <c r="AY8" s="124">
        <v>-6.2712866988413668E-4</v>
      </c>
      <c r="AZ8" s="124">
        <v>8.8693226922828346E-5</v>
      </c>
      <c r="BA8" s="124">
        <v>-1.5830700882307513E-3</v>
      </c>
      <c r="BB8" s="124">
        <v>-2.7248833053207556E-5</v>
      </c>
      <c r="BC8" s="124">
        <v>-6.5544722916270831E-4</v>
      </c>
      <c r="BD8" s="124">
        <v>-2.041411719650059E-4</v>
      </c>
      <c r="BE8" s="124">
        <v>-6.7903789608114739E-4</v>
      </c>
      <c r="BF8" s="124">
        <v>-7.6589395395265407E-3</v>
      </c>
      <c r="BG8" s="124">
        <v>-6.0169946833431359E-3</v>
      </c>
      <c r="BH8" s="125">
        <v>-6.479027121972037E-5</v>
      </c>
    </row>
    <row r="9" spans="1:60" x14ac:dyDescent="0.25">
      <c r="A9" s="126" t="s">
        <v>266</v>
      </c>
      <c r="B9" s="143">
        <v>7</v>
      </c>
      <c r="C9" s="124">
        <v>2.8426767966801654</v>
      </c>
      <c r="D9" s="124">
        <v>2.4095649925808877</v>
      </c>
      <c r="E9" s="124">
        <v>4.8329374494090231</v>
      </c>
      <c r="F9" s="124">
        <v>1.694654403220077</v>
      </c>
      <c r="G9" s="124">
        <v>2.2006992715554246</v>
      </c>
      <c r="H9" s="124">
        <v>2.708672025043743</v>
      </c>
      <c r="I9" s="124">
        <v>3.6462184884591826</v>
      </c>
      <c r="J9" s="124">
        <v>22.123537961030138</v>
      </c>
      <c r="K9" s="124">
        <v>5.9544971813991356</v>
      </c>
      <c r="L9" s="124">
        <v>2.1213046254731158</v>
      </c>
      <c r="M9" s="124">
        <v>2.8815233533372058</v>
      </c>
      <c r="N9" s="124">
        <v>6.5394906648773095</v>
      </c>
      <c r="O9" s="124">
        <v>0.5323139481559972</v>
      </c>
      <c r="P9" s="124">
        <v>2.0455719133274513</v>
      </c>
      <c r="Q9" s="124">
        <v>1.4984129842818468</v>
      </c>
      <c r="R9" s="124">
        <v>2.0153986375651423</v>
      </c>
      <c r="S9" s="124">
        <v>2.9160604411077369</v>
      </c>
      <c r="T9" s="124">
        <v>0.39595902184684861</v>
      </c>
      <c r="U9" s="124">
        <v>4.2956396247209003</v>
      </c>
      <c r="V9" s="124">
        <v>2.3398695751335925</v>
      </c>
      <c r="W9" s="124">
        <v>5.9611179984426839</v>
      </c>
      <c r="X9" s="124">
        <v>6.8780888184568187</v>
      </c>
      <c r="Y9" s="124">
        <v>4.7850407466526601</v>
      </c>
      <c r="Z9" s="124">
        <v>3.8526081105244088</v>
      </c>
      <c r="AA9" s="124">
        <v>0.57532357097487519</v>
      </c>
      <c r="AB9" s="124">
        <v>5.8424615123331552E-2</v>
      </c>
      <c r="AC9" s="124">
        <v>7.021721366658241</v>
      </c>
      <c r="AD9" s="124">
        <v>3.2652611918438241</v>
      </c>
      <c r="AE9" s="124">
        <v>8.1921851479624888</v>
      </c>
      <c r="AF9" s="124">
        <v>7.5785624424039666</v>
      </c>
      <c r="AG9" s="124">
        <v>3.3361128239703288</v>
      </c>
      <c r="AH9" s="124">
        <v>0.36432524174056652</v>
      </c>
      <c r="AI9" s="124">
        <v>4.307095178497593</v>
      </c>
      <c r="AJ9" s="124">
        <v>4.866106058141793</v>
      </c>
      <c r="AK9" s="124">
        <v>4.1084929429176871</v>
      </c>
      <c r="AL9" s="124">
        <v>3.0445532738600209</v>
      </c>
      <c r="AM9" s="124">
        <v>2.7017288095381238</v>
      </c>
      <c r="AN9" s="124">
        <v>6.4988760448180836</v>
      </c>
      <c r="AO9" s="124">
        <v>6.125610861546952</v>
      </c>
      <c r="AP9" s="124">
        <v>5.5450703958680041</v>
      </c>
      <c r="AQ9" s="124">
        <v>4.5099484106048928</v>
      </c>
      <c r="AR9" s="124">
        <v>8.4483669342288721</v>
      </c>
      <c r="AS9" s="124">
        <v>5.5731531962121394</v>
      </c>
      <c r="AT9" s="124">
        <v>6.7860220869948327</v>
      </c>
      <c r="AU9" s="124">
        <v>1.5988763354390416</v>
      </c>
      <c r="AV9" s="124">
        <v>0.63797115892693057</v>
      </c>
      <c r="AW9" s="124">
        <v>-8.5724944614155779E-2</v>
      </c>
      <c r="AX9" s="124">
        <v>4.704573918617581</v>
      </c>
      <c r="AY9" s="124">
        <v>3.7015103209037004</v>
      </c>
      <c r="AZ9" s="124">
        <v>4.1799001409556134</v>
      </c>
      <c r="BA9" s="124">
        <v>3.1192243386463545</v>
      </c>
      <c r="BB9" s="124">
        <v>4.228724533603228</v>
      </c>
      <c r="BC9" s="124">
        <v>2.8341652365226002</v>
      </c>
      <c r="BD9" s="124">
        <v>2.7013967146544107</v>
      </c>
      <c r="BE9" s="124">
        <v>7.3921211092979862</v>
      </c>
      <c r="BF9" s="124">
        <v>6.4306084646684436</v>
      </c>
      <c r="BG9" s="124">
        <v>4.2373802095607997</v>
      </c>
      <c r="BH9" s="125">
        <v>2.5142320771549551</v>
      </c>
    </row>
    <row r="10" spans="1:60" x14ac:dyDescent="0.25">
      <c r="A10" s="126" t="s">
        <v>267</v>
      </c>
      <c r="B10" s="143">
        <v>8</v>
      </c>
      <c r="C10" s="124">
        <v>-2.3769884348156512E-2</v>
      </c>
      <c r="D10" s="124">
        <v>0.48379088379574592</v>
      </c>
      <c r="E10" s="124">
        <v>4.9518135274751129E-2</v>
      </c>
      <c r="F10" s="124">
        <v>6.0308294063783855E-3</v>
      </c>
      <c r="G10" s="124">
        <v>8.4135663994000007E-2</v>
      </c>
      <c r="H10" s="124">
        <v>-1.9510149688087369E-2</v>
      </c>
      <c r="I10" s="124">
        <v>-3.3358567120831584E-3</v>
      </c>
      <c r="J10" s="124">
        <v>1.9088784826922967</v>
      </c>
      <c r="K10" s="124">
        <v>4.3904863111227828E-2</v>
      </c>
      <c r="L10" s="124">
        <v>5.2477795293984428E-2</v>
      </c>
      <c r="M10" s="124">
        <v>1.5598292087149921E-2</v>
      </c>
      <c r="N10" s="124">
        <v>0.20819255861847882</v>
      </c>
      <c r="O10" s="124">
        <v>-2.9676934965905007E-2</v>
      </c>
      <c r="P10" s="124">
        <v>0.46590730085626764</v>
      </c>
      <c r="Q10" s="124">
        <v>5.5158695489348972E-2</v>
      </c>
      <c r="R10" s="124">
        <v>0.32944524482321197</v>
      </c>
      <c r="S10" s="124">
        <v>-1.685578015096844E-2</v>
      </c>
      <c r="T10" s="124">
        <v>7.9432620483479779E-2</v>
      </c>
      <c r="U10" s="124">
        <v>3.6568796001968162E-2</v>
      </c>
      <c r="V10" s="124">
        <v>0.27044244823278862</v>
      </c>
      <c r="W10" s="124">
        <v>-7.3569345393082533E-2</v>
      </c>
      <c r="X10" s="124">
        <v>-0.11720826304131343</v>
      </c>
      <c r="Y10" s="124">
        <v>-3.2859408033624943E-2</v>
      </c>
      <c r="Z10" s="124">
        <v>0.22087687575661732</v>
      </c>
      <c r="AA10" s="124">
        <v>5.7192356777266383E-2</v>
      </c>
      <c r="AB10" s="124">
        <v>0.12790326264554799</v>
      </c>
      <c r="AC10" s="124">
        <v>-6.1779932940022701E-2</v>
      </c>
      <c r="AD10" s="124">
        <v>-8.6747867742002164E-3</v>
      </c>
      <c r="AE10" s="124">
        <v>6.8657710590711851E-2</v>
      </c>
      <c r="AF10" s="124">
        <v>0.12594681144620165</v>
      </c>
      <c r="AG10" s="124">
        <v>5.6083722829061676E-2</v>
      </c>
      <c r="AH10" s="124">
        <v>0.26928251285977883</v>
      </c>
      <c r="AI10" s="124">
        <v>0.33211453297386306</v>
      </c>
      <c r="AJ10" s="124">
        <v>-3.8089420481007219E-2</v>
      </c>
      <c r="AK10" s="124">
        <v>7.55448476843479E-3</v>
      </c>
      <c r="AL10" s="124">
        <v>0.27662175201549571</v>
      </c>
      <c r="AM10" s="124">
        <v>7.2803956615368121E-2</v>
      </c>
      <c r="AN10" s="124">
        <v>3.359183503202947E-2</v>
      </c>
      <c r="AO10" s="124">
        <v>0.17979796438788279</v>
      </c>
      <c r="AP10" s="124">
        <v>-4.6208754313917653E-2</v>
      </c>
      <c r="AQ10" s="124">
        <v>-3.1703036446259221E-2</v>
      </c>
      <c r="AR10" s="124">
        <v>3.8572202738528967E-2</v>
      </c>
      <c r="AS10" s="124">
        <v>-1.763252103864683E-2</v>
      </c>
      <c r="AT10" s="124">
        <v>4.3782644354222217E-2</v>
      </c>
      <c r="AU10" s="124">
        <v>0.45530292001276607</v>
      </c>
      <c r="AV10" s="124">
        <v>0.22107570044507119</v>
      </c>
      <c r="AW10" s="124">
        <v>8.6446121564051653E-2</v>
      </c>
      <c r="AX10" s="124">
        <v>-1.3240919719700435E-2</v>
      </c>
      <c r="AY10" s="124">
        <v>-4.6647790650416486E-2</v>
      </c>
      <c r="AZ10" s="124">
        <v>0.4825953438690837</v>
      </c>
      <c r="BA10" s="124">
        <v>-1.7082506026215354E-2</v>
      </c>
      <c r="BB10" s="124">
        <v>-1.8465418226037113E-2</v>
      </c>
      <c r="BC10" s="124">
        <v>-4.1588061880614146E-4</v>
      </c>
      <c r="BD10" s="124">
        <v>0.26012717033425004</v>
      </c>
      <c r="BE10" s="124">
        <v>-0.12779973641750866</v>
      </c>
      <c r="BF10" s="124">
        <v>5.7491224152600301E-2</v>
      </c>
      <c r="BG10" s="124">
        <v>-4.873966986249318E-2</v>
      </c>
      <c r="BH10" s="125">
        <v>1.828523718827875E-2</v>
      </c>
    </row>
    <row r="11" spans="1:60" x14ac:dyDescent="0.25">
      <c r="A11" s="126" t="s">
        <v>268</v>
      </c>
      <c r="B11" s="143">
        <v>9</v>
      </c>
      <c r="C11" s="124">
        <v>1.5257688623868064</v>
      </c>
      <c r="D11" s="124">
        <v>2.0269610602187038</v>
      </c>
      <c r="E11" s="124">
        <v>2.8211362592465332</v>
      </c>
      <c r="F11" s="124">
        <v>1.3369106630951479</v>
      </c>
      <c r="G11" s="124">
        <v>1.6574544981924362</v>
      </c>
      <c r="H11" s="124">
        <v>1.938193515027298</v>
      </c>
      <c r="I11" s="124">
        <v>0.97125407689460108</v>
      </c>
      <c r="J11" s="124">
        <v>20.505263080416025</v>
      </c>
      <c r="K11" s="124">
        <v>2.6849730396834057</v>
      </c>
      <c r="L11" s="124">
        <v>1.6919926368060907</v>
      </c>
      <c r="M11" s="124">
        <v>1.6338033947202464</v>
      </c>
      <c r="N11" s="124">
        <v>3.5367967820515966</v>
      </c>
      <c r="O11" s="124">
        <v>0.1891346743339733</v>
      </c>
      <c r="P11" s="124">
        <v>1.389373303257081</v>
      </c>
      <c r="Q11" s="124">
        <v>1.1363442215897852</v>
      </c>
      <c r="R11" s="124">
        <v>1.1312727934764639</v>
      </c>
      <c r="S11" s="124">
        <v>1.6222403113588444</v>
      </c>
      <c r="T11" s="124">
        <v>0.52380510397128244</v>
      </c>
      <c r="U11" s="124">
        <v>2.0306198607432489</v>
      </c>
      <c r="V11" s="124">
        <v>2.2728028871386137</v>
      </c>
      <c r="W11" s="124">
        <v>3.2888375548753244</v>
      </c>
      <c r="X11" s="124">
        <v>3.8700338687210922</v>
      </c>
      <c r="Y11" s="124">
        <v>2.7104768675996938</v>
      </c>
      <c r="Z11" s="124">
        <v>2.620555651571427</v>
      </c>
      <c r="AA11" s="124">
        <v>0.35346709897407153</v>
      </c>
      <c r="AB11" s="124">
        <v>0.44329915810897624</v>
      </c>
      <c r="AC11" s="124">
        <v>4.0977930246759966</v>
      </c>
      <c r="AD11" s="124">
        <v>3.2068008971760573</v>
      </c>
      <c r="AE11" s="124">
        <v>3.6228472712636495</v>
      </c>
      <c r="AF11" s="124">
        <v>2.2086945517633532</v>
      </c>
      <c r="AG11" s="124">
        <v>2.0595537779136786</v>
      </c>
      <c r="AH11" s="124">
        <v>0.46745990097456364</v>
      </c>
      <c r="AI11" s="124">
        <v>1.5982018458450211</v>
      </c>
      <c r="AJ11" s="124">
        <v>1.4281461171744809</v>
      </c>
      <c r="AK11" s="124">
        <v>1.4599925218270184</v>
      </c>
      <c r="AL11" s="124">
        <v>2.2038832636318215</v>
      </c>
      <c r="AM11" s="124">
        <v>1.3383126642775476</v>
      </c>
      <c r="AN11" s="124">
        <v>6.4988760448180836</v>
      </c>
      <c r="AO11" s="124">
        <v>2.7502963412923109</v>
      </c>
      <c r="AP11" s="124">
        <v>1.8592960031013983</v>
      </c>
      <c r="AQ11" s="124">
        <v>2.458815070319194</v>
      </c>
      <c r="AR11" s="124">
        <v>2.6317775370774812</v>
      </c>
      <c r="AS11" s="124">
        <v>1.4367806887881811</v>
      </c>
      <c r="AT11" s="124">
        <v>1.4149944119573523</v>
      </c>
      <c r="AU11" s="124">
        <v>0.87265156747373207</v>
      </c>
      <c r="AV11" s="124">
        <v>0.37305392668340864</v>
      </c>
      <c r="AW11" s="124">
        <v>6.3573988069055808E-3</v>
      </c>
      <c r="AX11" s="124">
        <v>0.83743727464224416</v>
      </c>
      <c r="AY11" s="124">
        <v>1.2718880332252773</v>
      </c>
      <c r="AZ11" s="124">
        <v>2.7343225315706321</v>
      </c>
      <c r="BA11" s="124">
        <v>1.1348530170636131</v>
      </c>
      <c r="BB11" s="124">
        <v>2.0410118720270436</v>
      </c>
      <c r="BC11" s="124">
        <v>1.218931361201544</v>
      </c>
      <c r="BD11" s="124">
        <v>1.5411727696731869</v>
      </c>
      <c r="BE11" s="124">
        <v>3.6776197951396496</v>
      </c>
      <c r="BF11" s="124">
        <v>2.3436829852735954</v>
      </c>
      <c r="BG11" s="124">
        <v>1.5304600926566378</v>
      </c>
      <c r="BH11" s="125">
        <v>1.7672529012621143</v>
      </c>
    </row>
    <row r="12" spans="1:60" x14ac:dyDescent="0.25">
      <c r="A12" s="126" t="s">
        <v>269</v>
      </c>
      <c r="B12" s="143">
        <v>10</v>
      </c>
      <c r="C12" s="124">
        <v>5.4278650621721707E-2</v>
      </c>
      <c r="D12" s="124">
        <v>-2.6258564933745964E-2</v>
      </c>
      <c r="E12" s="124">
        <v>5.5926037798384363E-2</v>
      </c>
      <c r="F12" s="124">
        <v>7.850024190055091E-2</v>
      </c>
      <c r="G12" s="124">
        <v>5.3723764613743993E-2</v>
      </c>
      <c r="H12" s="124">
        <v>9.6175420305487924E-2</v>
      </c>
      <c r="I12" s="124">
        <v>6.6085916806364567E-2</v>
      </c>
      <c r="J12" s="124">
        <v>9.5745629768107632E-2</v>
      </c>
      <c r="K12" s="124">
        <v>3.8407171577768774E-2</v>
      </c>
      <c r="L12" s="124">
        <v>4.8409464711123493E-2</v>
      </c>
      <c r="M12" s="124">
        <v>0.10570689496112588</v>
      </c>
      <c r="N12" s="124">
        <v>9.4917644018282871E-2</v>
      </c>
      <c r="O12" s="124">
        <v>1.4184940874123397E-2</v>
      </c>
      <c r="P12" s="124">
        <v>2.2581553442667796E-2</v>
      </c>
      <c r="Q12" s="124">
        <v>4.4583673803119443E-2</v>
      </c>
      <c r="R12" s="124">
        <v>3.9846674436243595E-2</v>
      </c>
      <c r="S12" s="124">
        <v>6.7406078191037569E-2</v>
      </c>
      <c r="T12" s="124">
        <v>5.0679815144120489E-2</v>
      </c>
      <c r="U12" s="124">
        <v>5.1921316477949064E-2</v>
      </c>
      <c r="V12" s="124">
        <v>5.4025218106887846E-2</v>
      </c>
      <c r="W12" s="124">
        <v>0.10238401091838367</v>
      </c>
      <c r="X12" s="124">
        <v>8.5296145291718431E-2</v>
      </c>
      <c r="Y12" s="124">
        <v>7.2482304486907262E-2</v>
      </c>
      <c r="Z12" s="124">
        <v>5.0483327192219866E-2</v>
      </c>
      <c r="AA12" s="124">
        <v>2.1701510072627134E-2</v>
      </c>
      <c r="AB12" s="124">
        <v>1.3214670079699628E-2</v>
      </c>
      <c r="AC12" s="124">
        <v>6.3239281674407802E-2</v>
      </c>
      <c r="AD12" s="124">
        <v>0.10602349059313264</v>
      </c>
      <c r="AE12" s="124">
        <v>3.8400800195168269E-2</v>
      </c>
      <c r="AF12" s="124">
        <v>5.769545039167813E-2</v>
      </c>
      <c r="AG12" s="124">
        <v>3.8812075864069005E-2</v>
      </c>
      <c r="AH12" s="124">
        <v>9.7517972331762459E-2</v>
      </c>
      <c r="AI12" s="124">
        <v>3.069270396803489E-2</v>
      </c>
      <c r="AJ12" s="124">
        <v>4.5920613966141582E-2</v>
      </c>
      <c r="AK12" s="124">
        <v>6.3659167055738292E-2</v>
      </c>
      <c r="AL12" s="124">
        <v>2.8546197652038231E-2</v>
      </c>
      <c r="AM12" s="124">
        <v>4.6164395081840261E-2</v>
      </c>
      <c r="AN12" s="124">
        <v>3.359183503202947E-2</v>
      </c>
      <c r="AO12" s="124">
        <v>6.7997225709302639E-2</v>
      </c>
      <c r="AP12" s="124">
        <v>6.293497125395052E-2</v>
      </c>
      <c r="AQ12" s="124">
        <v>5.879670637164764E-2</v>
      </c>
      <c r="AR12" s="124">
        <v>4.9839593429245613E-2</v>
      </c>
      <c r="AS12" s="124">
        <v>7.0686387202556267E-2</v>
      </c>
      <c r="AT12" s="124">
        <v>3.5501890109867359E-2</v>
      </c>
      <c r="AU12" s="124">
        <v>3.3196400921451395E-2</v>
      </c>
      <c r="AV12" s="124">
        <v>1.3324229962409668E-2</v>
      </c>
      <c r="AW12" s="124">
        <v>1.8738094321641648E-2</v>
      </c>
      <c r="AX12" s="124">
        <v>5.373698087714493E-2</v>
      </c>
      <c r="AY12" s="124">
        <v>4.4016316606023689E-2</v>
      </c>
      <c r="AZ12" s="124">
        <v>5.4961817516525568E-2</v>
      </c>
      <c r="BA12" s="124">
        <v>5.0160212303699075E-2</v>
      </c>
      <c r="BB12" s="124">
        <v>8.731935199136287E-2</v>
      </c>
      <c r="BC12" s="124">
        <v>3.3130743774741005E-2</v>
      </c>
      <c r="BD12" s="124">
        <v>5.5448778763960475E-2</v>
      </c>
      <c r="BE12" s="124">
        <v>6.9802033534385188E-2</v>
      </c>
      <c r="BF12" s="124">
        <v>5.7165760357755863E-2</v>
      </c>
      <c r="BG12" s="124">
        <v>8.0365626970420684E-2</v>
      </c>
      <c r="BH12" s="125">
        <v>7.2482923705286209E-2</v>
      </c>
    </row>
    <row r="13" spans="1:60" x14ac:dyDescent="0.25">
      <c r="A13" s="126" t="s">
        <v>270</v>
      </c>
      <c r="B13" s="143">
        <v>11</v>
      </c>
      <c r="C13" s="124">
        <v>1.6713282688910217E-2</v>
      </c>
      <c r="D13" s="124">
        <v>1.6817316667090743E-2</v>
      </c>
      <c r="E13" s="124">
        <v>1.6974845037455319E-2</v>
      </c>
      <c r="F13" s="124">
        <v>1.7064264900329595E-2</v>
      </c>
      <c r="G13" s="124">
        <v>1.7070834058931908E-2</v>
      </c>
      <c r="H13" s="124">
        <v>1.7079654082014516E-2</v>
      </c>
      <c r="I13" s="124">
        <v>1.7076411715541157E-2</v>
      </c>
      <c r="J13" s="124">
        <v>1.6966747254444772E-2</v>
      </c>
      <c r="K13" s="124">
        <v>1.6964626208375477E-2</v>
      </c>
      <c r="L13" s="124">
        <v>1.6989292240057196E-2</v>
      </c>
      <c r="M13" s="124">
        <v>1.5879920807046328E-2</v>
      </c>
      <c r="N13" s="124">
        <v>1.6114788890359458E-2</v>
      </c>
      <c r="O13" s="124">
        <v>1.6127879743081743E-2</v>
      </c>
      <c r="P13" s="124">
        <v>1.5901146785492013E-2</v>
      </c>
      <c r="Q13" s="124">
        <v>1.5900732315068718E-2</v>
      </c>
      <c r="R13" s="124">
        <v>1.4677329783727381E-2</v>
      </c>
      <c r="S13" s="124">
        <v>1.4068971854323924E-2</v>
      </c>
      <c r="T13" s="124">
        <v>1.4130533256036632E-2</v>
      </c>
      <c r="U13" s="124">
        <v>1.491240288906818E-2</v>
      </c>
      <c r="V13" s="124">
        <v>1.5037169102857434E-2</v>
      </c>
      <c r="W13" s="124">
        <v>1.5026335171446286E-2</v>
      </c>
      <c r="X13" s="124">
        <v>1.5064199637989105E-2</v>
      </c>
      <c r="Y13" s="124">
        <v>1.5409236054340348E-2</v>
      </c>
      <c r="Z13" s="124">
        <v>1.5983339339407477E-2</v>
      </c>
      <c r="AA13" s="124">
        <v>1.5771499744029541E-2</v>
      </c>
      <c r="AB13" s="124">
        <v>1.6520769690323452E-2</v>
      </c>
      <c r="AC13" s="124">
        <v>1.6542400250169367E-2</v>
      </c>
      <c r="AD13" s="124">
        <v>1.6037811389792329E-2</v>
      </c>
      <c r="AE13" s="124">
        <v>1.6147858802807391E-2</v>
      </c>
      <c r="AF13" s="124">
        <v>1.6188111758029238E-2</v>
      </c>
      <c r="AG13" s="124">
        <v>1.6172981607880797E-2</v>
      </c>
      <c r="AH13" s="124">
        <v>1.6293959938897158E-2</v>
      </c>
      <c r="AI13" s="124">
        <v>1.813591945915128E-2</v>
      </c>
      <c r="AJ13" s="124">
        <v>1.7286613105349138E-2</v>
      </c>
      <c r="AK13" s="124">
        <v>1.747621407836996E-2</v>
      </c>
      <c r="AL13" s="124">
        <v>1.6811020758922043E-2</v>
      </c>
      <c r="AM13" s="124">
        <v>1.6687180815771134E-2</v>
      </c>
      <c r="AN13" s="124">
        <v>1.6915680108072786E-2</v>
      </c>
      <c r="AO13" s="124">
        <v>1.6915680108072786E-2</v>
      </c>
      <c r="AP13" s="124">
        <v>1.6624503658264102E-2</v>
      </c>
      <c r="AQ13" s="124">
        <v>1.4736671638937332E-2</v>
      </c>
      <c r="AR13" s="124">
        <v>1.4783309515543186E-2</v>
      </c>
      <c r="AS13" s="124">
        <v>1.4266029711838631E-2</v>
      </c>
      <c r="AT13" s="124">
        <v>1.2594257716975693E-2</v>
      </c>
      <c r="AU13" s="124">
        <v>1.2613983630219407E-2</v>
      </c>
      <c r="AV13" s="124">
        <v>1.511561674185498E-2</v>
      </c>
      <c r="AW13" s="124">
        <v>1.5131629147401805E-2</v>
      </c>
      <c r="AX13" s="124">
        <v>1.7410045086460241E-2</v>
      </c>
      <c r="AY13" s="124">
        <v>1.8960909320780778E-2</v>
      </c>
      <c r="AZ13" s="124">
        <v>2.2084924222389404E-2</v>
      </c>
      <c r="BA13" s="124">
        <v>2.3824235528437727E-2</v>
      </c>
      <c r="BB13" s="124">
        <v>2.3812337805021462E-2</v>
      </c>
      <c r="BC13" s="124">
        <v>3.0590016398760342E-2</v>
      </c>
      <c r="BD13" s="124">
        <v>3.0822640202564068E-2</v>
      </c>
      <c r="BE13" s="124">
        <v>2.3516456898336452E-2</v>
      </c>
      <c r="BF13" s="124">
        <v>2.442695052804298E-2</v>
      </c>
      <c r="BG13" s="124">
        <v>1.9123600628272151E-2</v>
      </c>
      <c r="BH13" s="125">
        <v>1.0480451238498598E-2</v>
      </c>
    </row>
    <row r="14" spans="1:60" x14ac:dyDescent="0.25">
      <c r="A14" s="127" t="s">
        <v>271</v>
      </c>
      <c r="B14" s="146">
        <v>12</v>
      </c>
      <c r="C14" s="128">
        <v>2.4846732678420136E-2</v>
      </c>
      <c r="D14" s="128">
        <v>1.7201584161983169E-2</v>
      </c>
      <c r="E14" s="128">
        <v>3.0580594065747806E-2</v>
      </c>
      <c r="F14" s="128">
        <v>3.6314455453075586E-2</v>
      </c>
      <c r="G14" s="128">
        <v>2.6758019807529381E-2</v>
      </c>
      <c r="H14" s="128">
        <v>2.4846732678420136E-2</v>
      </c>
      <c r="I14" s="128">
        <v>2.6758019807529381E-2</v>
      </c>
      <c r="J14" s="128">
        <v>1.5290297032873931E-2</v>
      </c>
      <c r="K14" s="128">
        <v>2.8669306936638616E-2</v>
      </c>
      <c r="L14" s="128">
        <v>2.4846732678420136E-2</v>
      </c>
      <c r="M14" s="128">
        <v>2.4846732678420084E-2</v>
      </c>
      <c r="N14" s="128">
        <v>2.4846732678420136E-2</v>
      </c>
      <c r="O14" s="128">
        <v>2.293544554931087E-2</v>
      </c>
      <c r="P14" s="128">
        <v>1.7201584161983169E-2</v>
      </c>
      <c r="Q14" s="128">
        <v>2.1024158420201628E-2</v>
      </c>
      <c r="R14" s="128">
        <v>2.293544554931087E-2</v>
      </c>
      <c r="S14" s="128">
        <v>2.4846732678420084E-2</v>
      </c>
      <c r="T14" s="128">
        <v>1.3379009903764691E-2</v>
      </c>
      <c r="U14" s="128">
        <v>2.2935445549310894E-2</v>
      </c>
      <c r="V14" s="128">
        <v>2.2935445549310839E-2</v>
      </c>
      <c r="W14" s="128">
        <v>2.4846732678420084E-2</v>
      </c>
      <c r="X14" s="128">
        <v>1.9112871291092359E-2</v>
      </c>
      <c r="Y14" s="128">
        <v>2.1024158420201652E-2</v>
      </c>
      <c r="Z14" s="128">
        <v>2.6758019807529381E-2</v>
      </c>
      <c r="AA14" s="128">
        <v>1.5290297032873931E-2</v>
      </c>
      <c r="AB14" s="128">
        <v>1.1467722774655447E-2</v>
      </c>
      <c r="AC14" s="128">
        <v>2.8669306936638616E-2</v>
      </c>
      <c r="AD14" s="128">
        <v>2.8669306936638567E-2</v>
      </c>
      <c r="AE14" s="128">
        <v>1.7201584161983169E-2</v>
      </c>
      <c r="AF14" s="128">
        <v>3.0580594065747806E-2</v>
      </c>
      <c r="AG14" s="128">
        <v>2.8669306936638616E-2</v>
      </c>
      <c r="AH14" s="128">
        <v>1.3379009903764691E-2</v>
      </c>
      <c r="AI14" s="128">
        <v>3.0580594065747806E-2</v>
      </c>
      <c r="AJ14" s="128">
        <v>2.4846732678420084E-2</v>
      </c>
      <c r="AK14" s="128">
        <v>2.6758019807529322E-2</v>
      </c>
      <c r="AL14" s="128">
        <v>2.6758019807529322E-2</v>
      </c>
      <c r="AM14" s="128">
        <v>2.2935445549310894E-2</v>
      </c>
      <c r="AN14" s="128">
        <v>2.4846732678420136E-2</v>
      </c>
      <c r="AO14" s="128">
        <v>2.6758019807529381E-2</v>
      </c>
      <c r="AP14" s="128">
        <v>2.6758019807529381E-2</v>
      </c>
      <c r="AQ14" s="128">
        <v>2.6758019807529381E-2</v>
      </c>
      <c r="AR14" s="128">
        <v>2.8669306936638616E-2</v>
      </c>
      <c r="AS14" s="128">
        <v>2.6758019807529381E-2</v>
      </c>
      <c r="AT14" s="128">
        <v>2.8669306936638567E-2</v>
      </c>
      <c r="AU14" s="128">
        <v>1.1467722774655447E-2</v>
      </c>
      <c r="AV14" s="128">
        <v>1.3379009903764661E-2</v>
      </c>
      <c r="AW14" s="128">
        <v>7.6451485164369653E-3</v>
      </c>
      <c r="AX14" s="128">
        <v>2.4846732678420136E-2</v>
      </c>
      <c r="AY14" s="128">
        <v>3.0580594065747806E-2</v>
      </c>
      <c r="AZ14" s="128">
        <v>2.4846732678420136E-2</v>
      </c>
      <c r="BA14" s="128">
        <v>2.6758019807529322E-2</v>
      </c>
      <c r="BB14" s="128">
        <v>2.8669306936638567E-2</v>
      </c>
      <c r="BC14" s="128">
        <v>2.1024158420201597E-2</v>
      </c>
      <c r="BD14" s="128">
        <v>2.4846732678420136E-2</v>
      </c>
      <c r="BE14" s="128">
        <v>2.2935445549310894E-2</v>
      </c>
      <c r="BF14" s="128">
        <v>2.8669306936638616E-2</v>
      </c>
      <c r="BG14" s="128">
        <v>2.4846732678420136E-2</v>
      </c>
      <c r="BH14" s="129">
        <v>2.6758019807529381E-2</v>
      </c>
    </row>
    <row r="16" spans="1:60" s="122" customFormat="1" ht="78.75" thickBot="1" x14ac:dyDescent="0.3">
      <c r="A16" s="121" t="s">
        <v>272</v>
      </c>
      <c r="B16" s="149">
        <v>1</v>
      </c>
      <c r="C16" s="130" t="s">
        <v>205</v>
      </c>
      <c r="D16" s="130" t="s">
        <v>206</v>
      </c>
      <c r="E16" s="130" t="s">
        <v>207</v>
      </c>
      <c r="F16" s="130" t="s">
        <v>208</v>
      </c>
      <c r="G16" s="130" t="s">
        <v>209</v>
      </c>
      <c r="H16" s="130" t="s">
        <v>210</v>
      </c>
      <c r="I16" s="130" t="s">
        <v>211</v>
      </c>
      <c r="J16" s="130" t="s">
        <v>212</v>
      </c>
      <c r="K16" s="130" t="s">
        <v>213</v>
      </c>
      <c r="L16" s="130" t="s">
        <v>214</v>
      </c>
      <c r="M16" s="130" t="s">
        <v>215</v>
      </c>
      <c r="N16" s="130" t="s">
        <v>216</v>
      </c>
      <c r="O16" s="130" t="s">
        <v>217</v>
      </c>
      <c r="P16" s="130" t="s">
        <v>218</v>
      </c>
      <c r="Q16" s="130" t="s">
        <v>219</v>
      </c>
      <c r="R16" s="130" t="s">
        <v>220</v>
      </c>
      <c r="S16" s="130" t="s">
        <v>221</v>
      </c>
      <c r="T16" s="130" t="s">
        <v>222</v>
      </c>
      <c r="U16" s="130" t="s">
        <v>223</v>
      </c>
      <c r="V16" s="130" t="s">
        <v>224</v>
      </c>
      <c r="W16" s="130" t="s">
        <v>225</v>
      </c>
      <c r="X16" s="130" t="s">
        <v>226</v>
      </c>
      <c r="Y16" s="130" t="s">
        <v>227</v>
      </c>
      <c r="Z16" s="130" t="s">
        <v>228</v>
      </c>
      <c r="AA16" s="130" t="s">
        <v>229</v>
      </c>
      <c r="AB16" s="130" t="s">
        <v>230</v>
      </c>
      <c r="AC16" s="130" t="s">
        <v>231</v>
      </c>
      <c r="AD16" s="130" t="s">
        <v>232</v>
      </c>
      <c r="AE16" s="130" t="s">
        <v>233</v>
      </c>
      <c r="AF16" s="130" t="s">
        <v>234</v>
      </c>
      <c r="AG16" s="130" t="s">
        <v>235</v>
      </c>
      <c r="AH16" s="130" t="s">
        <v>236</v>
      </c>
      <c r="AI16" s="130" t="s">
        <v>237</v>
      </c>
      <c r="AJ16" s="130" t="s">
        <v>238</v>
      </c>
      <c r="AK16" s="130" t="s">
        <v>239</v>
      </c>
      <c r="AL16" s="130" t="s">
        <v>240</v>
      </c>
      <c r="AM16" s="130" t="s">
        <v>241</v>
      </c>
      <c r="AN16" s="130" t="s">
        <v>242</v>
      </c>
      <c r="AO16" s="130" t="s">
        <v>243</v>
      </c>
      <c r="AP16" s="130" t="s">
        <v>244</v>
      </c>
      <c r="AQ16" s="130" t="s">
        <v>245</v>
      </c>
      <c r="AR16" s="130" t="s">
        <v>246</v>
      </c>
      <c r="AS16" s="130" t="s">
        <v>247</v>
      </c>
      <c r="AT16" s="130" t="s">
        <v>248</v>
      </c>
      <c r="AU16" s="130" t="s">
        <v>249</v>
      </c>
      <c r="AV16" s="130" t="s">
        <v>250</v>
      </c>
      <c r="AW16" s="130" t="s">
        <v>251</v>
      </c>
      <c r="AX16" s="130" t="s">
        <v>252</v>
      </c>
      <c r="AY16" s="130" t="s">
        <v>253</v>
      </c>
      <c r="AZ16" s="130" t="s">
        <v>254</v>
      </c>
      <c r="BA16" s="130" t="s">
        <v>255</v>
      </c>
      <c r="BB16" s="130" t="s">
        <v>256</v>
      </c>
      <c r="BC16" s="130" t="s">
        <v>257</v>
      </c>
      <c r="BD16" s="130" t="s">
        <v>258</v>
      </c>
      <c r="BE16" s="130" t="s">
        <v>259</v>
      </c>
      <c r="BF16" s="130" t="s">
        <v>260</v>
      </c>
      <c r="BG16" s="130" t="s">
        <v>261</v>
      </c>
      <c r="BH16" s="131" t="s">
        <v>262</v>
      </c>
    </row>
    <row r="17" spans="1:60" ht="15.75" thickTop="1" x14ac:dyDescent="0.25">
      <c r="A17" s="123" t="s">
        <v>263</v>
      </c>
      <c r="B17" s="143">
        <v>2</v>
      </c>
      <c r="C17" s="124">
        <v>-0.88883562301245089</v>
      </c>
      <c r="D17" s="124">
        <v>-0.17621651196369068</v>
      </c>
      <c r="E17" s="124">
        <v>-0.1792945956012916</v>
      </c>
      <c r="F17" s="124">
        <v>-2.175951603126268</v>
      </c>
      <c r="G17" s="124">
        <v>-5.9492966033675074</v>
      </c>
      <c r="H17" s="124">
        <v>-0.73322356847912973</v>
      </c>
      <c r="I17" s="124">
        <v>-0.83240310973099807</v>
      </c>
      <c r="J17" s="124">
        <v>-7.1909393726978577E-2</v>
      </c>
      <c r="K17" s="124">
        <v>-0.88066349904826702</v>
      </c>
      <c r="L17" s="124">
        <v>-2.9793024410825857</v>
      </c>
      <c r="M17" s="124">
        <v>-2.3258338029078001</v>
      </c>
      <c r="N17" s="124">
        <v>-3.0309781246533985E-2</v>
      </c>
      <c r="O17" s="124">
        <v>-1.1066104304691442</v>
      </c>
      <c r="P17" s="124">
        <v>-9.8077796473814583E-3</v>
      </c>
      <c r="Q17" s="124">
        <v>-4.5871789680494377</v>
      </c>
      <c r="R17" s="124">
        <v>-3.3215214144601006</v>
      </c>
      <c r="S17" s="124">
        <v>-3.1829024295786281</v>
      </c>
      <c r="T17" s="124">
        <v>-2.0127687630671584E-3</v>
      </c>
      <c r="U17" s="124">
        <v>-0.86119431772743116</v>
      </c>
      <c r="V17" s="124">
        <v>-3.4879237145166848</v>
      </c>
      <c r="W17" s="124">
        <v>-0.10962146958668657</v>
      </c>
      <c r="X17" s="124">
        <v>-3.9958694764711672E-2</v>
      </c>
      <c r="Y17" s="124">
        <v>-9.4423154640115456E-2</v>
      </c>
      <c r="Z17" s="124">
        <v>-1.2740074124783267</v>
      </c>
      <c r="AA17" s="124">
        <v>-2.64678199049165E-3</v>
      </c>
      <c r="AB17" s="124">
        <v>-3.4711023002668257E-4</v>
      </c>
      <c r="AC17" s="124">
        <v>-0.45096722374547077</v>
      </c>
      <c r="AD17" s="124">
        <v>-0.1577974975652473</v>
      </c>
      <c r="AE17" s="124">
        <v>-0.11981005918966245</v>
      </c>
      <c r="AF17" s="124">
        <v>-2.7693973057202586</v>
      </c>
      <c r="AG17" s="124">
        <v>-0.50587106215345634</v>
      </c>
      <c r="AH17" s="124">
        <v>-1.1871604044477415E-4</v>
      </c>
      <c r="AI17" s="124">
        <v>-1.7474974956185634</v>
      </c>
      <c r="AJ17" s="124">
        <v>-0.4298508766944053</v>
      </c>
      <c r="AK17" s="124">
        <v>-1.242741425482959</v>
      </c>
      <c r="AL17" s="124">
        <v>-0.84907108722314284</v>
      </c>
      <c r="AM17" s="124">
        <v>-3.0506624605671697</v>
      </c>
      <c r="AN17" s="124">
        <v>-0.98893819405297356</v>
      </c>
      <c r="AO17" s="124">
        <v>-2.1038491930452996</v>
      </c>
      <c r="AP17" s="124">
        <v>-0.57154281268393803</v>
      </c>
      <c r="AQ17" s="124">
        <v>-0.1721894414680229</v>
      </c>
      <c r="AR17" s="124">
        <v>-0.66376045670911465</v>
      </c>
      <c r="AS17" s="124">
        <v>-0.64389723205067251</v>
      </c>
      <c r="AT17" s="124">
        <v>-0.24992430393430318</v>
      </c>
      <c r="AU17" s="124">
        <v>-1.6554685941301692E-2</v>
      </c>
      <c r="AV17" s="124">
        <v>1.9605816888047044E-4</v>
      </c>
      <c r="AW17" s="124">
        <v>1.1581063855295609E-6</v>
      </c>
      <c r="AX17" s="124">
        <v>-1.6131632011078951</v>
      </c>
      <c r="AY17" s="124">
        <v>-0.11011614349098454</v>
      </c>
      <c r="AZ17" s="124">
        <v>-2.0672803680258003</v>
      </c>
      <c r="BA17" s="124">
        <v>-3.6671307294277291</v>
      </c>
      <c r="BB17" s="124">
        <v>-6.2917354646195207</v>
      </c>
      <c r="BC17" s="124">
        <v>-7.7022604758481092E-2</v>
      </c>
      <c r="BD17" s="124">
        <v>-3.5798021221787257</v>
      </c>
      <c r="BE17" s="124">
        <v>-0.12012962183368907</v>
      </c>
      <c r="BF17" s="124">
        <v>-1.7574178318404599</v>
      </c>
      <c r="BG17" s="124">
        <v>-2.5921123173579952</v>
      </c>
      <c r="BH17" s="125">
        <v>-5.197917120013698</v>
      </c>
    </row>
    <row r="18" spans="1:60" x14ac:dyDescent="0.25">
      <c r="A18" s="123" t="s">
        <v>264</v>
      </c>
      <c r="B18" s="143">
        <v>3</v>
      </c>
      <c r="C18" s="124">
        <v>-0.69826616789592377</v>
      </c>
      <c r="D18" s="124">
        <v>-0.16755205034988677</v>
      </c>
      <c r="E18" s="124">
        <v>-0.1463766311737143</v>
      </c>
      <c r="F18" s="124">
        <v>-1.7206086201867832</v>
      </c>
      <c r="G18" s="124">
        <v>-5.8172513757015087</v>
      </c>
      <c r="H18" s="124">
        <v>-0.49597421386085278</v>
      </c>
      <c r="I18" s="124">
        <v>-0.51684326014090132</v>
      </c>
      <c r="J18" s="124">
        <v>-6.7559202599530008E-2</v>
      </c>
      <c r="K18" s="124">
        <v>-0.78191157601877082</v>
      </c>
      <c r="L18" s="124">
        <v>-2.0296583872665632</v>
      </c>
      <c r="M18" s="124">
        <v>-1.4975492231820018</v>
      </c>
      <c r="N18" s="124">
        <v>-1.9510231199776538E-2</v>
      </c>
      <c r="O18" s="124">
        <v>9.0322981842119343E-2</v>
      </c>
      <c r="P18" s="124">
        <v>2.1916554185427146E-3</v>
      </c>
      <c r="Q18" s="124">
        <v>-3.5448936063846288</v>
      </c>
      <c r="R18" s="124">
        <v>-2.5208327010536298</v>
      </c>
      <c r="S18" s="124">
        <v>-2.2637639808735961</v>
      </c>
      <c r="T18" s="124">
        <v>-2.1520406005408541E-3</v>
      </c>
      <c r="U18" s="124">
        <v>-0.51239754943807236</v>
      </c>
      <c r="V18" s="124">
        <v>-3.3454793617849674</v>
      </c>
      <c r="W18" s="124">
        <v>-6.0742763536378135E-2</v>
      </c>
      <c r="X18" s="124">
        <v>-2.0663532348973824E-2</v>
      </c>
      <c r="Y18" s="124">
        <v>-6.2197530836708474E-2</v>
      </c>
      <c r="Z18" s="124">
        <v>-0.81988972091971046</v>
      </c>
      <c r="AA18" s="124">
        <v>-1.5994532619586317E-3</v>
      </c>
      <c r="AB18" s="124">
        <v>-3.0144776398713141E-4</v>
      </c>
      <c r="AC18" s="124">
        <v>-0.1936536731865309</v>
      </c>
      <c r="AD18" s="124">
        <v>-0.10556785159709341</v>
      </c>
      <c r="AE18" s="124">
        <v>-0.10540810725826483</v>
      </c>
      <c r="AF18" s="124">
        <v>-1.0532983884904417</v>
      </c>
      <c r="AG18" s="124">
        <v>-0.39815392922078241</v>
      </c>
      <c r="AH18" s="124">
        <v>-9.9066639199309452E-5</v>
      </c>
      <c r="AI18" s="124">
        <v>-0.65277701964021639</v>
      </c>
      <c r="AJ18" s="124">
        <v>-0.28630119818614591</v>
      </c>
      <c r="AK18" s="124">
        <v>-0.7643316546711344</v>
      </c>
      <c r="AL18" s="124">
        <v>-0.7327299140227469</v>
      </c>
      <c r="AM18" s="124">
        <v>-0.36964858964256442</v>
      </c>
      <c r="AN18" s="124">
        <v>-0.55433969664079519</v>
      </c>
      <c r="AO18" s="124">
        <v>-1.1493057966882123</v>
      </c>
      <c r="AP18" s="124">
        <v>-0.21046950298248354</v>
      </c>
      <c r="AQ18" s="124">
        <v>-4.5543764496434637E-2</v>
      </c>
      <c r="AR18" s="124">
        <v>-0.38541167378184016</v>
      </c>
      <c r="AS18" s="124">
        <v>-0.42682492196351268</v>
      </c>
      <c r="AT18" s="124">
        <v>-0.1847958785484094</v>
      </c>
      <c r="AU18" s="124">
        <v>-1.5261939937115849E-2</v>
      </c>
      <c r="AV18" s="124">
        <v>2.13000657079615E-4</v>
      </c>
      <c r="AW18" s="124">
        <v>6.1660388896019201E-6</v>
      </c>
      <c r="AX18" s="124">
        <v>-1.3505526240113501</v>
      </c>
      <c r="AY18" s="124">
        <v>-8.0003482834117082E-2</v>
      </c>
      <c r="AZ18" s="124">
        <v>-1.5343396942590761</v>
      </c>
      <c r="BA18" s="124">
        <v>-2.6953454693954053</v>
      </c>
      <c r="BB18" s="124">
        <v>-3.8376677250974911</v>
      </c>
      <c r="BC18" s="124">
        <v>-5.2526968286076003E-2</v>
      </c>
      <c r="BD18" s="124">
        <v>-2.6083160112068424</v>
      </c>
      <c r="BE18" s="124">
        <v>-6.9806821615657946E-2</v>
      </c>
      <c r="BF18" s="124">
        <v>-0.84016841415547161</v>
      </c>
      <c r="BG18" s="124">
        <v>-1.7928339599354715</v>
      </c>
      <c r="BH18" s="125">
        <v>-3.3164192187514212</v>
      </c>
    </row>
    <row r="19" spans="1:60" x14ac:dyDescent="0.25">
      <c r="A19" s="123" t="s">
        <v>83</v>
      </c>
      <c r="B19" s="143">
        <v>4</v>
      </c>
      <c r="C19" s="124">
        <v>-2.7819437200676167</v>
      </c>
      <c r="D19" s="124">
        <v>-1.9974410642137603</v>
      </c>
      <c r="E19" s="124">
        <v>-1.4669698162240565</v>
      </c>
      <c r="F19" s="124">
        <v>-4.3371706649927919</v>
      </c>
      <c r="G19" s="124">
        <v>-5.1376138667403284</v>
      </c>
      <c r="H19" s="124">
        <v>-2.4396500767510112</v>
      </c>
      <c r="I19" s="124">
        <v>-2.1097700937543178</v>
      </c>
      <c r="J19" s="124">
        <v>-1.0201693998292047</v>
      </c>
      <c r="K19" s="124">
        <v>-1.9991073162961954</v>
      </c>
      <c r="L19" s="124">
        <v>-4.7249061555414178</v>
      </c>
      <c r="M19" s="124">
        <v>-3.2583591218852939</v>
      </c>
      <c r="N19" s="124">
        <v>-1.0396076295298913</v>
      </c>
      <c r="O19" s="124">
        <v>-6.3836064333619005</v>
      </c>
      <c r="P19" s="124">
        <v>-0.62568615183566956</v>
      </c>
      <c r="Q19" s="124">
        <v>-5.9686092258702255</v>
      </c>
      <c r="R19" s="124">
        <v>-6.6266215308125762</v>
      </c>
      <c r="S19" s="124">
        <v>-3.8601908587952067</v>
      </c>
      <c r="T19" s="124">
        <v>-0.53058754957096221</v>
      </c>
      <c r="U19" s="124">
        <v>-3.1718441855093804</v>
      </c>
      <c r="V19" s="124">
        <v>-3.7086896750444551</v>
      </c>
      <c r="W19" s="124">
        <v>-1.6270745442671801</v>
      </c>
      <c r="X19" s="124">
        <v>-1.9090749783409253</v>
      </c>
      <c r="Y19" s="124">
        <v>-0.98866356644263753</v>
      </c>
      <c r="Z19" s="124">
        <v>-3.129623203399706</v>
      </c>
      <c r="AA19" s="124">
        <v>-0.67496770975620646</v>
      </c>
      <c r="AB19" s="124">
        <v>-3.7543316216778339E-2</v>
      </c>
      <c r="AC19" s="124">
        <v>-3.6047481407285988</v>
      </c>
      <c r="AD19" s="124">
        <v>-0.27972808286160622</v>
      </c>
      <c r="AE19" s="124">
        <v>-1.4390620220704915</v>
      </c>
      <c r="AF19" s="124">
        <v>-5.1142269246344378</v>
      </c>
      <c r="AG19" s="124">
        <v>-2.1779943187169528</v>
      </c>
      <c r="AH19" s="124">
        <v>-0.36795199128595213</v>
      </c>
      <c r="AI19" s="124">
        <v>-5.0447351372785167</v>
      </c>
      <c r="AJ19" s="124">
        <v>-1.4710266409935802</v>
      </c>
      <c r="AK19" s="124">
        <v>-3.5530079409916295</v>
      </c>
      <c r="AL19" s="124">
        <v>-2.6513465431531476</v>
      </c>
      <c r="AM19" s="124">
        <v>-6.4006549342278767</v>
      </c>
      <c r="AN19" s="124">
        <v>-3.083714129241351</v>
      </c>
      <c r="AO19" s="124">
        <v>-2.8388558357826228</v>
      </c>
      <c r="AP19" s="124">
        <v>-2.2529949688119664</v>
      </c>
      <c r="AQ19" s="124">
        <v>-2.5363913509425098</v>
      </c>
      <c r="AR19" s="124">
        <v>-3.6253910422254285</v>
      </c>
      <c r="AS19" s="124">
        <v>-3.3561993977086821</v>
      </c>
      <c r="AT19" s="124">
        <v>-2.6079622139981051</v>
      </c>
      <c r="AU19" s="124">
        <v>-0.75337060186593063</v>
      </c>
      <c r="AV19" s="124">
        <v>-0.60802956718432721</v>
      </c>
      <c r="AW19" s="124">
        <v>-0.17262419882166846</v>
      </c>
      <c r="AX19" s="124">
        <v>-4.4539502847259227</v>
      </c>
      <c r="AY19" s="124">
        <v>-0.91338049224453599</v>
      </c>
      <c r="AZ19" s="124">
        <v>-2.7735481237234394</v>
      </c>
      <c r="BA19" s="124">
        <v>-5.3084901641815936</v>
      </c>
      <c r="BB19" s="124">
        <v>-5.8987432704931635</v>
      </c>
      <c r="BC19" s="124">
        <v>-1.2736813535180131</v>
      </c>
      <c r="BD19" s="124">
        <v>-4.1151863406660603</v>
      </c>
      <c r="BE19" s="124">
        <v>-1.7275215520463496</v>
      </c>
      <c r="BF19" s="124">
        <v>-4.5237335339058751</v>
      </c>
      <c r="BG19" s="124">
        <v>-4.0809979338946434</v>
      </c>
      <c r="BH19" s="125">
        <v>-5.2524893748428063</v>
      </c>
    </row>
    <row r="20" spans="1:60" x14ac:dyDescent="0.25">
      <c r="A20" s="123" t="s">
        <v>13</v>
      </c>
      <c r="B20" s="143">
        <v>5</v>
      </c>
      <c r="C20" s="124">
        <v>1.0322250927290699E-2</v>
      </c>
      <c r="D20" s="124">
        <v>3.2870358561034117E-2</v>
      </c>
      <c r="E20" s="124">
        <v>8.7764472047597488E-3</v>
      </c>
      <c r="F20" s="124">
        <v>0.29023629214466945</v>
      </c>
      <c r="G20" s="124">
        <v>5.3582619845594153E-3</v>
      </c>
      <c r="H20" s="124">
        <v>0.41258182688911565</v>
      </c>
      <c r="I20" s="124">
        <v>9.8916728242934099E-2</v>
      </c>
      <c r="J20" s="124">
        <v>-4.9876093090681875E-2</v>
      </c>
      <c r="K20" s="124">
        <v>2.9166296346568418E-2</v>
      </c>
      <c r="L20" s="124">
        <v>-4.7961920888073217E-2</v>
      </c>
      <c r="M20" s="124">
        <v>0.29966600993193121</v>
      </c>
      <c r="N20" s="124">
        <v>1.8328051446516329E-2</v>
      </c>
      <c r="O20" s="124">
        <v>0.43592008031177043</v>
      </c>
      <c r="P20" s="124">
        <v>5.4199107818146734E-2</v>
      </c>
      <c r="Q20" s="124">
        <v>6.2532560703079429E-2</v>
      </c>
      <c r="R20" s="124">
        <v>0.20096591723160312</v>
      </c>
      <c r="S20" s="124">
        <v>1.5283157869866422E-2</v>
      </c>
      <c r="T20" s="124">
        <v>1.1001577876404489E-2</v>
      </c>
      <c r="U20" s="124">
        <v>-5.9916549152993857E-3</v>
      </c>
      <c r="V20" s="124">
        <v>0.26266482454717749</v>
      </c>
      <c r="W20" s="124">
        <v>3.1195854844013386E-2</v>
      </c>
      <c r="X20" s="124">
        <v>1.7692844953149304E-3</v>
      </c>
      <c r="Y20" s="124">
        <v>8.2370589530716808E-3</v>
      </c>
      <c r="Z20" s="124">
        <v>6.9682947648690444E-2</v>
      </c>
      <c r="AA20" s="124">
        <v>4.3814491619135004E-2</v>
      </c>
      <c r="AB20" s="124">
        <v>2.7749466610075277E-4</v>
      </c>
      <c r="AC20" s="124">
        <v>0.39243937824439529</v>
      </c>
      <c r="AD20" s="124">
        <v>2.1406516821130556E-2</v>
      </c>
      <c r="AE20" s="124">
        <v>-2.883972845708168E-2</v>
      </c>
      <c r="AF20" s="124">
        <v>8.3327146909365962E-2</v>
      </c>
      <c r="AG20" s="124">
        <v>0.53440381776846546</v>
      </c>
      <c r="AH20" s="124">
        <v>1.0283404124987355E-4</v>
      </c>
      <c r="AI20" s="124">
        <v>0.29960632450802682</v>
      </c>
      <c r="AJ20" s="124">
        <v>7.1542676697706281E-2</v>
      </c>
      <c r="AK20" s="124">
        <v>6.3162912469391277E-2</v>
      </c>
      <c r="AL20" s="124">
        <v>5.3653688119191099E-2</v>
      </c>
      <c r="AM20" s="124">
        <v>2.1381355920141809E-3</v>
      </c>
      <c r="AN20" s="124">
        <v>0.39721850491825306</v>
      </c>
      <c r="AO20" s="124">
        <v>0.26266047354932293</v>
      </c>
      <c r="AP20" s="124">
        <v>0.13189821605815333</v>
      </c>
      <c r="AQ20" s="124">
        <v>0.14832340148243597</v>
      </c>
      <c r="AR20" s="124">
        <v>0.46015654619095286</v>
      </c>
      <c r="AS20" s="124">
        <v>-1.4199148083661834E-2</v>
      </c>
      <c r="AT20" s="124">
        <v>0.1132229151090462</v>
      </c>
      <c r="AU20" s="124">
        <v>5.5075751872995765E-2</v>
      </c>
      <c r="AV20" s="124">
        <v>5.5670202926525981E-3</v>
      </c>
      <c r="AW20" s="124">
        <v>2.3212322155803209E-3</v>
      </c>
      <c r="AX20" s="124">
        <v>1.5844882122726684E-2</v>
      </c>
      <c r="AY20" s="124">
        <v>3.2294225537732923E-2</v>
      </c>
      <c r="AZ20" s="124">
        <v>5.0507182317862949E-2</v>
      </c>
      <c r="BA20" s="124">
        <v>0.28048962939247635</v>
      </c>
      <c r="BB20" s="124">
        <v>4.2434913800953621E-2</v>
      </c>
      <c r="BC20" s="124">
        <v>-2.6107828005522117E-2</v>
      </c>
      <c r="BD20" s="124">
        <v>0.19202302591538656</v>
      </c>
      <c r="BE20" s="124">
        <v>5.1831843637695609E-3</v>
      </c>
      <c r="BF20" s="124">
        <v>0.50421508053320596</v>
      </c>
      <c r="BG20" s="124">
        <v>-6.406889616085272E-2</v>
      </c>
      <c r="BH20" s="125">
        <v>0.61982288123811091</v>
      </c>
    </row>
    <row r="21" spans="1:60" x14ac:dyDescent="0.25">
      <c r="A21" s="123" t="s">
        <v>16</v>
      </c>
      <c r="B21" s="143">
        <v>6</v>
      </c>
      <c r="C21" s="124">
        <v>7.1270532892179364E-3</v>
      </c>
      <c r="D21" s="124">
        <v>0</v>
      </c>
      <c r="E21" s="124">
        <v>2.4444699049915894E-3</v>
      </c>
      <c r="F21" s="124">
        <v>5.1600691667829583E-4</v>
      </c>
      <c r="G21" s="124">
        <v>2.2282497390594147E-3</v>
      </c>
      <c r="H21" s="124">
        <v>-5.3122888060186781E-3</v>
      </c>
      <c r="I21" s="124">
        <v>1.3814753345876394E-2</v>
      </c>
      <c r="J21" s="124">
        <v>-8.9869784127009911E-3</v>
      </c>
      <c r="K21" s="124">
        <v>3.1812549437067281E-2</v>
      </c>
      <c r="L21" s="124">
        <v>9.7147925819333712E-3</v>
      </c>
      <c r="M21" s="124">
        <v>1.0109880360503597E-3</v>
      </c>
      <c r="N21" s="124">
        <v>8.7400898587143838E-3</v>
      </c>
      <c r="O21" s="124">
        <v>0.31387836422667292</v>
      </c>
      <c r="P21" s="124">
        <v>7.2358031947175681E-4</v>
      </c>
      <c r="Q21" s="124">
        <v>4.1337198292407035E-2</v>
      </c>
      <c r="R21" s="124">
        <v>1.434246095859866E-2</v>
      </c>
      <c r="S21" s="124">
        <v>1.2834997812406988E-2</v>
      </c>
      <c r="T21" s="124">
        <v>-1.7789714445580707E-4</v>
      </c>
      <c r="U21" s="124">
        <v>8.9098489340808801E-2</v>
      </c>
      <c r="V21" s="124">
        <v>2.9325286099191558E-3</v>
      </c>
      <c r="W21" s="124">
        <v>1.1016359514581661E-3</v>
      </c>
      <c r="X21" s="124">
        <v>3.060592092149826E-4</v>
      </c>
      <c r="Y21" s="124">
        <v>2.8919370384666867E-3</v>
      </c>
      <c r="Z21" s="124">
        <v>2.0106572107852078E-2</v>
      </c>
      <c r="AA21" s="124">
        <v>2.6760981562423192E-4</v>
      </c>
      <c r="AB21" s="124">
        <v>0</v>
      </c>
      <c r="AC21" s="124">
        <v>0.14322144212937432</v>
      </c>
      <c r="AD21" s="124">
        <v>1.323368353995648E-2</v>
      </c>
      <c r="AE21" s="124">
        <v>-2.118236194053668E-3</v>
      </c>
      <c r="AF21" s="124">
        <v>5.2157068029088302E-2</v>
      </c>
      <c r="AG21" s="124">
        <v>4.4386995716734672E-3</v>
      </c>
      <c r="AH21" s="124">
        <v>-1.3457868984019723E-5</v>
      </c>
      <c r="AI21" s="124">
        <v>8.0367691278775716E-2</v>
      </c>
      <c r="AJ21" s="124">
        <v>3.801741632321675E-3</v>
      </c>
      <c r="AK21" s="124">
        <v>3.2967681696256704E-2</v>
      </c>
      <c r="AL21" s="124">
        <v>8.5234291850929955E-3</v>
      </c>
      <c r="AM21" s="124">
        <v>1.1291455151794805E-2</v>
      </c>
      <c r="AN21" s="124">
        <v>8.0281514671208865E-2</v>
      </c>
      <c r="AO21" s="124">
        <v>3.0941734265113562E-2</v>
      </c>
      <c r="AP21" s="124">
        <v>2.0404001853970555E-2</v>
      </c>
      <c r="AQ21" s="124">
        <v>7.1887477370826625E-2</v>
      </c>
      <c r="AR21" s="124">
        <v>9.8011213735994487E-2</v>
      </c>
      <c r="AS21" s="124">
        <v>1.4200140325060723E-2</v>
      </c>
      <c r="AT21" s="124">
        <v>-1.7002712415376656E-2</v>
      </c>
      <c r="AU21" s="124">
        <v>-8.0929173192294864E-4</v>
      </c>
      <c r="AV21" s="124">
        <v>0</v>
      </c>
      <c r="AW21" s="124">
        <v>2.0038173585996806E-4</v>
      </c>
      <c r="AX21" s="124">
        <v>-3.0548614712053819E-3</v>
      </c>
      <c r="AY21" s="124">
        <v>1.3221881992431799E-2</v>
      </c>
      <c r="AZ21" s="124">
        <v>5.3400696340876455E-3</v>
      </c>
      <c r="BA21" s="124">
        <v>-4.4394881701201221E-3</v>
      </c>
      <c r="BB21" s="124">
        <v>5.8072634274363387E-4</v>
      </c>
      <c r="BC21" s="124">
        <v>4.9098646988388547E-3</v>
      </c>
      <c r="BD21" s="124">
        <v>7.2126802406536567E-3</v>
      </c>
      <c r="BE21" s="124">
        <v>2.5624648147090094E-3</v>
      </c>
      <c r="BF21" s="124">
        <v>0.13360232691161519</v>
      </c>
      <c r="BG21" s="124">
        <v>-1.3570925590902857E-2</v>
      </c>
      <c r="BH21" s="125">
        <v>5.4021690185514291E-4</v>
      </c>
    </row>
    <row r="22" spans="1:60" x14ac:dyDescent="0.25">
      <c r="A22" s="126" t="s">
        <v>266</v>
      </c>
      <c r="B22" s="143">
        <v>7</v>
      </c>
      <c r="C22" s="124">
        <v>2.4359721391136353</v>
      </c>
      <c r="D22" s="124">
        <v>1.3557530804512905</v>
      </c>
      <c r="E22" s="124">
        <v>2.5680893961503997</v>
      </c>
      <c r="F22" s="124">
        <v>0.61419614322491956</v>
      </c>
      <c r="G22" s="124">
        <v>2.2760866751469719</v>
      </c>
      <c r="H22" s="124">
        <v>0.63131972528434921</v>
      </c>
      <c r="I22" s="124">
        <v>5.7736515280420448</v>
      </c>
      <c r="J22" s="124">
        <v>2.3276429152577545</v>
      </c>
      <c r="K22" s="124">
        <v>2.4840683274377686</v>
      </c>
      <c r="L22" s="124">
        <v>4.6533799059299348</v>
      </c>
      <c r="M22" s="124">
        <v>3.9601546889340211</v>
      </c>
      <c r="N22" s="124">
        <v>2.6880855955714358</v>
      </c>
      <c r="O22" s="124">
        <v>3.7587628380752296</v>
      </c>
      <c r="P22" s="124">
        <v>1.7288238439288164</v>
      </c>
      <c r="Q22" s="124">
        <v>6.3891187397776088</v>
      </c>
      <c r="R22" s="124">
        <v>12.26875100365039</v>
      </c>
      <c r="S22" s="124">
        <v>1.8296239535769871</v>
      </c>
      <c r="T22" s="124">
        <v>1.8311447469442987</v>
      </c>
      <c r="U22" s="124">
        <v>2.7761377350535725</v>
      </c>
      <c r="V22" s="124">
        <v>10.629545229808359</v>
      </c>
      <c r="W22" s="124">
        <v>2.6984029615611846</v>
      </c>
      <c r="X22" s="124">
        <v>2.3236998630071612</v>
      </c>
      <c r="Y22" s="124">
        <v>2.1262301607912391</v>
      </c>
      <c r="Z22" s="124">
        <v>14.107090223298774</v>
      </c>
      <c r="AA22" s="124">
        <v>1.351133070830812</v>
      </c>
      <c r="AB22" s="124">
        <v>0.90111062473832648</v>
      </c>
      <c r="AC22" s="124">
        <v>2.0000573902915257</v>
      </c>
      <c r="AD22" s="124">
        <v>1.7889111225339172</v>
      </c>
      <c r="AE22" s="124">
        <v>2.1361069646318174</v>
      </c>
      <c r="AF22" s="124">
        <v>2.936481323148632</v>
      </c>
      <c r="AG22" s="124">
        <v>1.9745658791856422</v>
      </c>
      <c r="AH22" s="124">
        <v>1.7913679560108371</v>
      </c>
      <c r="AI22" s="124">
        <v>3.6238027576309553</v>
      </c>
      <c r="AJ22" s="124">
        <v>6.3069540877595314</v>
      </c>
      <c r="AK22" s="124">
        <v>2.4727323484551418</v>
      </c>
      <c r="AL22" s="124">
        <v>6.8401014336999033</v>
      </c>
      <c r="AM22" s="124">
        <v>2.8531203802212555</v>
      </c>
      <c r="AN22" s="124">
        <v>2.8112460143362146</v>
      </c>
      <c r="AO22" s="124">
        <v>8.4092850226378051</v>
      </c>
      <c r="AP22" s="124">
        <v>2.1067245377487054</v>
      </c>
      <c r="AQ22" s="124">
        <v>2.4752482577927895</v>
      </c>
      <c r="AR22" s="124">
        <v>2.6796240198502352</v>
      </c>
      <c r="AS22" s="124">
        <v>2.470660755119209</v>
      </c>
      <c r="AT22" s="124">
        <v>2.6472420007579256</v>
      </c>
      <c r="AU22" s="124">
        <v>1.9176262333245548</v>
      </c>
      <c r="AV22" s="124">
        <v>1.4937768436066401</v>
      </c>
      <c r="AW22" s="124">
        <v>1.2292864146637168</v>
      </c>
      <c r="AX22" s="124">
        <v>3.0588187895973205</v>
      </c>
      <c r="AY22" s="124">
        <v>2.6182684571252017</v>
      </c>
      <c r="AZ22" s="124">
        <v>18.818867104662356</v>
      </c>
      <c r="BA22" s="124">
        <v>1.2171115556002745</v>
      </c>
      <c r="BB22" s="124">
        <v>5.5813747598478702</v>
      </c>
      <c r="BC22" s="124">
        <v>2.022950335053697</v>
      </c>
      <c r="BD22" s="124">
        <v>16.919200111280823</v>
      </c>
      <c r="BE22" s="124">
        <v>2.6462699812540973</v>
      </c>
      <c r="BF22" s="124">
        <v>3.0546062287364713</v>
      </c>
      <c r="BG22" s="124">
        <v>2.2439516963535819</v>
      </c>
      <c r="BH22" s="125">
        <v>1.8155977682854454</v>
      </c>
    </row>
    <row r="23" spans="1:60" x14ac:dyDescent="0.25">
      <c r="A23" s="126" t="s">
        <v>267</v>
      </c>
      <c r="B23" s="143">
        <v>8</v>
      </c>
      <c r="C23" s="124">
        <v>1.5193230717570829</v>
      </c>
      <c r="D23" s="124">
        <v>0.26594846670886163</v>
      </c>
      <c r="E23" s="124">
        <v>1.6901133670154944</v>
      </c>
      <c r="F23" s="124">
        <v>0.44278852317321926</v>
      </c>
      <c r="G23" s="124">
        <v>1.4942983365351603</v>
      </c>
      <c r="H23" s="124">
        <v>0.28732204895460733</v>
      </c>
      <c r="I23" s="124">
        <v>4.7208185233224498</v>
      </c>
      <c r="J23" s="124">
        <v>1.407043651553797</v>
      </c>
      <c r="K23" s="124">
        <v>1.7452874609110587</v>
      </c>
      <c r="L23" s="124">
        <v>3.5488072526413408</v>
      </c>
      <c r="M23" s="124">
        <v>3.4688157122905632</v>
      </c>
      <c r="N23" s="124">
        <v>1.7590051631587955</v>
      </c>
      <c r="O23" s="124">
        <v>1.7167215097071051</v>
      </c>
      <c r="P23" s="124">
        <v>0.89464570357069662</v>
      </c>
      <c r="Q23" s="124">
        <v>5.2330117745671147</v>
      </c>
      <c r="R23" s="124">
        <v>10.830645107591176</v>
      </c>
      <c r="S23" s="124">
        <v>1.1776624715054982</v>
      </c>
      <c r="T23" s="124">
        <v>1.1290683379365567</v>
      </c>
      <c r="U23" s="124">
        <v>1.7763095496938013</v>
      </c>
      <c r="V23" s="124">
        <v>9.7727696500111421</v>
      </c>
      <c r="W23" s="124">
        <v>1.5616206428400257</v>
      </c>
      <c r="X23" s="124">
        <v>1.4791954431352627</v>
      </c>
      <c r="Y23" s="124">
        <v>1.4266581419868987</v>
      </c>
      <c r="Z23" s="124">
        <v>12.975673255285876</v>
      </c>
      <c r="AA23" s="124">
        <v>0.71121983515872089</v>
      </c>
      <c r="AB23" s="124">
        <v>0.51868447284813035</v>
      </c>
      <c r="AC23" s="124">
        <v>1.0781360832574114</v>
      </c>
      <c r="AD23" s="124">
        <v>1.3043388396229896</v>
      </c>
      <c r="AE23" s="124">
        <v>1.2567198890244193</v>
      </c>
      <c r="AF23" s="124">
        <v>1.8459103174480815</v>
      </c>
      <c r="AG23" s="124">
        <v>1.2348483365848397</v>
      </c>
      <c r="AH23" s="124">
        <v>1.1647528524978992</v>
      </c>
      <c r="AI23" s="124">
        <v>2.1346791250628794</v>
      </c>
      <c r="AJ23" s="124">
        <v>5.3306570435097234</v>
      </c>
      <c r="AK23" s="124">
        <v>1.4115186734533971</v>
      </c>
      <c r="AL23" s="124">
        <v>5.7169299014028532</v>
      </c>
      <c r="AM23" s="124">
        <v>1.7844387084037221</v>
      </c>
      <c r="AN23" s="124">
        <v>2.0113204706409022</v>
      </c>
      <c r="AO23" s="124">
        <v>7.4902903985328093</v>
      </c>
      <c r="AP23" s="124">
        <v>1.2590522449828019</v>
      </c>
      <c r="AQ23" s="124">
        <v>1.4369466945084561</v>
      </c>
      <c r="AR23" s="124">
        <v>1.7580816503611698</v>
      </c>
      <c r="AS23" s="124">
        <v>1.3517736863477194</v>
      </c>
      <c r="AT23" s="124">
        <v>1.7278026636634387</v>
      </c>
      <c r="AU23" s="124">
        <v>1.2270949033282972</v>
      </c>
      <c r="AV23" s="124">
        <v>0.72069411147154183</v>
      </c>
      <c r="AW23" s="124">
        <v>0.7329262378767889</v>
      </c>
      <c r="AX23" s="124">
        <v>1.8930393384444117</v>
      </c>
      <c r="AY23" s="124">
        <v>1.8413039439515717</v>
      </c>
      <c r="AZ23" s="124">
        <v>17.647443268658773</v>
      </c>
      <c r="BA23" s="124">
        <v>0.71236805367038236</v>
      </c>
      <c r="BB23" s="124">
        <v>4.4607539922051558</v>
      </c>
      <c r="BC23" s="124">
        <v>1.1543395863650521</v>
      </c>
      <c r="BD23" s="124">
        <v>15.842456828604837</v>
      </c>
      <c r="BE23" s="124">
        <v>1.7646117180684406</v>
      </c>
      <c r="BF23" s="124">
        <v>2.015246121041562</v>
      </c>
      <c r="BG23" s="124">
        <v>1.2648467973692441</v>
      </c>
      <c r="BH23" s="125">
        <v>1.6257670182409634</v>
      </c>
    </row>
    <row r="24" spans="1:60" x14ac:dyDescent="0.25">
      <c r="A24" s="126" t="s">
        <v>268</v>
      </c>
      <c r="B24" s="143">
        <v>9</v>
      </c>
      <c r="C24" s="124">
        <v>4.7482391789376956</v>
      </c>
      <c r="D24" s="124">
        <v>0.76645367090555228</v>
      </c>
      <c r="E24" s="124">
        <v>2.4855035025887271</v>
      </c>
      <c r="F24" s="124">
        <v>3.4804665433643973</v>
      </c>
      <c r="G24" s="124">
        <v>3.8147956770488287</v>
      </c>
      <c r="H24" s="124">
        <v>3.2353358721222309</v>
      </c>
      <c r="I24" s="124">
        <v>3.1091885524075917</v>
      </c>
      <c r="J24" s="124">
        <v>1.951869181328274</v>
      </c>
      <c r="K24" s="124">
        <v>1.9855207028150605</v>
      </c>
      <c r="L24" s="124">
        <v>3.5048232885931849</v>
      </c>
      <c r="M24" s="124">
        <v>3.4478011895888137</v>
      </c>
      <c r="N24" s="124">
        <v>1.7754293041659217</v>
      </c>
      <c r="O24" s="124">
        <v>6.4647121267362735</v>
      </c>
      <c r="P24" s="124">
        <v>2.3104160145732209</v>
      </c>
      <c r="Q24" s="124">
        <v>4.4328871520211726</v>
      </c>
      <c r="R24" s="124">
        <v>4.4064497795477715</v>
      </c>
      <c r="S24" s="124">
        <v>2.2413979288124826</v>
      </c>
      <c r="T24" s="124">
        <v>1.2789087680677644</v>
      </c>
      <c r="U24" s="124">
        <v>3.297842985589809</v>
      </c>
      <c r="V24" s="124">
        <v>3.0733521856248927</v>
      </c>
      <c r="W24" s="124">
        <v>2.0257007295764393</v>
      </c>
      <c r="X24" s="124">
        <v>2.2357458914241266</v>
      </c>
      <c r="Y24" s="124">
        <v>1.7157082171104046</v>
      </c>
      <c r="Z24" s="124">
        <v>2.5303388609743269</v>
      </c>
      <c r="AA24" s="124">
        <v>1.7232218212608588</v>
      </c>
      <c r="AB24" s="124">
        <v>1.3773162830617367</v>
      </c>
      <c r="AC24" s="124">
        <v>2.3215542054488325</v>
      </c>
      <c r="AD24" s="124">
        <v>2.0973844106632926</v>
      </c>
      <c r="AE24" s="124">
        <v>1.5732654876517858</v>
      </c>
      <c r="AF24" s="124">
        <v>3.6857536785553013</v>
      </c>
      <c r="AG24" s="124">
        <v>3.4714020101836782</v>
      </c>
      <c r="AH24" s="124">
        <v>2.1996480093446147</v>
      </c>
      <c r="AI24" s="124">
        <v>5.4598762828203489</v>
      </c>
      <c r="AJ24" s="124">
        <v>2.1277760446482721</v>
      </c>
      <c r="AK24" s="124">
        <v>3.1954124571561788</v>
      </c>
      <c r="AL24" s="124">
        <v>3.4844176652324772</v>
      </c>
      <c r="AM24" s="124">
        <v>3.9659288076406822</v>
      </c>
      <c r="AN24" s="124">
        <v>2.8112460143362146</v>
      </c>
      <c r="AO24" s="124">
        <v>3.1846938501554081</v>
      </c>
      <c r="AP24" s="124">
        <v>3.1333393283316897</v>
      </c>
      <c r="AQ24" s="124">
        <v>1.987412601354104</v>
      </c>
      <c r="AR24" s="124">
        <v>2.8946565926608923</v>
      </c>
      <c r="AS24" s="124">
        <v>2.7422428274498247</v>
      </c>
      <c r="AT24" s="124">
        <v>1.9421965821645635</v>
      </c>
      <c r="AU24" s="124">
        <v>1.280326016843218</v>
      </c>
      <c r="AV24" s="124">
        <v>1.1527135002930209</v>
      </c>
      <c r="AW24" s="124">
        <v>0.86729145786649375</v>
      </c>
      <c r="AX24" s="124">
        <v>5.6240341169806882</v>
      </c>
      <c r="AY24" s="124">
        <v>2.1217338168031521</v>
      </c>
      <c r="AZ24" s="124">
        <v>2.6998537662010444</v>
      </c>
      <c r="BA24" s="124">
        <v>5.406792877877364</v>
      </c>
      <c r="BB24" s="124">
        <v>3.6182759027432829</v>
      </c>
      <c r="BC24" s="124">
        <v>1.9963871498018406</v>
      </c>
      <c r="BD24" s="124">
        <v>4.2131837547795135</v>
      </c>
      <c r="BE24" s="124">
        <v>1.8735991117173794</v>
      </c>
      <c r="BF24" s="124">
        <v>3.0467632105270335</v>
      </c>
      <c r="BG24" s="124">
        <v>4.212691289583069</v>
      </c>
      <c r="BH24" s="125">
        <v>4.9781286779479377</v>
      </c>
    </row>
    <row r="25" spans="1:60" x14ac:dyDescent="0.25">
      <c r="A25" s="126" t="s">
        <v>269</v>
      </c>
      <c r="B25" s="143">
        <v>10</v>
      </c>
      <c r="C25" s="124">
        <v>3.5982685271575727</v>
      </c>
      <c r="D25" s="124">
        <v>0.17483172248433632</v>
      </c>
      <c r="E25" s="124">
        <v>1.8488876371851897</v>
      </c>
      <c r="F25" s="124">
        <v>2.588279784285032</v>
      </c>
      <c r="G25" s="124">
        <v>2.9549013187078264</v>
      </c>
      <c r="H25" s="124">
        <v>2.4742406853346965</v>
      </c>
      <c r="I25" s="124">
        <v>2.341117105791255</v>
      </c>
      <c r="J25" s="124">
        <v>1.5577367088237044</v>
      </c>
      <c r="K25" s="124">
        <v>1.5002347806578178</v>
      </c>
      <c r="L25" s="124">
        <v>2.6923339088578451</v>
      </c>
      <c r="M25" s="124">
        <v>2.6941965443083165</v>
      </c>
      <c r="N25" s="124">
        <v>1.3707120889223439</v>
      </c>
      <c r="O25" s="124">
        <v>4.7258941287055407</v>
      </c>
      <c r="P25" s="124">
        <v>1.7479305500635436</v>
      </c>
      <c r="Q25" s="124">
        <v>3.4037801874539038</v>
      </c>
      <c r="R25" s="124">
        <v>3.24761937643125</v>
      </c>
      <c r="S25" s="124">
        <v>1.7094187378647787</v>
      </c>
      <c r="T25" s="124">
        <v>0.99456003151205974</v>
      </c>
      <c r="U25" s="124">
        <v>2.5457341130128714</v>
      </c>
      <c r="V25" s="124">
        <v>2.2143743107016967</v>
      </c>
      <c r="W25" s="124">
        <v>1.5781811752869574</v>
      </c>
      <c r="X25" s="124">
        <v>1.754996200496554</v>
      </c>
      <c r="Y25" s="124">
        <v>1.3106306004086303</v>
      </c>
      <c r="Z25" s="124">
        <v>1.9271525816274699</v>
      </c>
      <c r="AA25" s="124">
        <v>1.3918700737910514</v>
      </c>
      <c r="AB25" s="124">
        <v>1.0400596506143718</v>
      </c>
      <c r="AC25" s="124">
        <v>1.8585032794874501</v>
      </c>
      <c r="AD25" s="124">
        <v>1.6288919857005919</v>
      </c>
      <c r="AE25" s="124">
        <v>1.1832719663323539</v>
      </c>
      <c r="AF25" s="124">
        <v>2.8751238060081761</v>
      </c>
      <c r="AG25" s="124">
        <v>2.6165556190267671</v>
      </c>
      <c r="AH25" s="124">
        <v>1.6482767944902506</v>
      </c>
      <c r="AI25" s="124">
        <v>4.292621662890074</v>
      </c>
      <c r="AJ25" s="124">
        <v>1.6141304898791475</v>
      </c>
      <c r="AK25" s="124">
        <v>2.422644378423203</v>
      </c>
      <c r="AL25" s="124">
        <v>2.6738318352175301</v>
      </c>
      <c r="AM25" s="124">
        <v>3.0892650656216989</v>
      </c>
      <c r="AN25" s="124">
        <v>2.0113204706409022</v>
      </c>
      <c r="AO25" s="124">
        <v>2.4543122490941918</v>
      </c>
      <c r="AP25" s="124">
        <v>2.4687884841211303</v>
      </c>
      <c r="AQ25" s="124">
        <v>1.5653375650637786</v>
      </c>
      <c r="AR25" s="124">
        <v>2.2427843268658871</v>
      </c>
      <c r="AS25" s="124">
        <v>2.1061325399422133</v>
      </c>
      <c r="AT25" s="124">
        <v>1.4587581668066836</v>
      </c>
      <c r="AU25" s="124">
        <v>0.94753432073087984</v>
      </c>
      <c r="AV25" s="124">
        <v>0.8552051461936393</v>
      </c>
      <c r="AW25" s="124">
        <v>0.66257760563883605</v>
      </c>
      <c r="AX25" s="124">
        <v>4.055423182209168</v>
      </c>
      <c r="AY25" s="124">
        <v>1.6387273565883842</v>
      </c>
      <c r="AZ25" s="124">
        <v>2.0197486223294878</v>
      </c>
      <c r="BA25" s="124">
        <v>4.0042389368805003</v>
      </c>
      <c r="BB25" s="124">
        <v>2.860297002167608</v>
      </c>
      <c r="BC25" s="124">
        <v>1.5453279930786419</v>
      </c>
      <c r="BD25" s="124">
        <v>3.2410195511395354</v>
      </c>
      <c r="BE25" s="124">
        <v>1.4474885725013766</v>
      </c>
      <c r="BF25" s="124">
        <v>2.3762459567602501</v>
      </c>
      <c r="BG25" s="124">
        <v>3.162245307122368</v>
      </c>
      <c r="BH25" s="125">
        <v>3.7759210451704717</v>
      </c>
    </row>
    <row r="26" spans="1:60" x14ac:dyDescent="0.25">
      <c r="A26" s="126" t="s">
        <v>270</v>
      </c>
      <c r="B26" s="143">
        <v>11</v>
      </c>
      <c r="C26" s="124">
        <v>2.1104852718117826</v>
      </c>
      <c r="D26" s="124">
        <v>2.1040776484822752</v>
      </c>
      <c r="E26" s="124">
        <v>2.1035281048124217</v>
      </c>
      <c r="F26" s="124">
        <v>2.1120369880352428</v>
      </c>
      <c r="G26" s="124">
        <v>2.1082599501355239</v>
      </c>
      <c r="H26" s="124">
        <v>2.1087178512778055</v>
      </c>
      <c r="I26" s="124">
        <v>2.106108870455071</v>
      </c>
      <c r="J26" s="124">
        <v>2.1035280690564022</v>
      </c>
      <c r="K26" s="124">
        <v>2.1036544384747247</v>
      </c>
      <c r="L26" s="124">
        <v>2.1060092276429501</v>
      </c>
      <c r="M26" s="124">
        <v>2.0737289380762172</v>
      </c>
      <c r="N26" s="124">
        <v>2.0624144484770368</v>
      </c>
      <c r="O26" s="124">
        <v>2.0689664713735754</v>
      </c>
      <c r="P26" s="124">
        <v>2.0160769510450329</v>
      </c>
      <c r="Q26" s="124">
        <v>2.0160942866410649</v>
      </c>
      <c r="R26" s="124">
        <v>1.9514302839878264</v>
      </c>
      <c r="S26" s="124">
        <v>1.943249526016892</v>
      </c>
      <c r="T26" s="124">
        <v>1.9443389522500443</v>
      </c>
      <c r="U26" s="124">
        <v>1.9566215491635444</v>
      </c>
      <c r="V26" s="124">
        <v>1.9558848301875944</v>
      </c>
      <c r="W26" s="124">
        <v>1.9525805955596527</v>
      </c>
      <c r="X26" s="124">
        <v>1.9555025842259497</v>
      </c>
      <c r="Y26" s="124">
        <v>1.9648704479134302</v>
      </c>
      <c r="Z26" s="124">
        <v>1.9788562211535652</v>
      </c>
      <c r="AA26" s="124">
        <v>1.9521592257709013</v>
      </c>
      <c r="AB26" s="124">
        <v>1.9848552731786067</v>
      </c>
      <c r="AC26" s="124">
        <v>1.9854767517983538</v>
      </c>
      <c r="AD26" s="124">
        <v>1.9877538812377153</v>
      </c>
      <c r="AE26" s="124">
        <v>1.9884406983958731</v>
      </c>
      <c r="AF26" s="124">
        <v>1.9896450028869674</v>
      </c>
      <c r="AG26" s="124">
        <v>1.9892454152444601</v>
      </c>
      <c r="AH26" s="124">
        <v>1.9871975636654431</v>
      </c>
      <c r="AI26" s="124">
        <v>2.0084644660366981</v>
      </c>
      <c r="AJ26" s="124">
        <v>1.9548242084523428</v>
      </c>
      <c r="AK26" s="124">
        <v>1.946275409369794</v>
      </c>
      <c r="AL26" s="124">
        <v>1.944849878213101</v>
      </c>
      <c r="AM26" s="124">
        <v>1.9378857143154047</v>
      </c>
      <c r="AN26" s="124">
        <v>1.9300860049254109</v>
      </c>
      <c r="AO26" s="124">
        <v>1.9300860049254109</v>
      </c>
      <c r="AP26" s="124">
        <v>1.9127140521064032</v>
      </c>
      <c r="AQ26" s="124">
        <v>1.9189690323677067</v>
      </c>
      <c r="AR26" s="124">
        <v>1.9197593257326195</v>
      </c>
      <c r="AS26" s="124">
        <v>1.9147221871994944</v>
      </c>
      <c r="AT26" s="124">
        <v>1.9071649043140861</v>
      </c>
      <c r="AU26" s="124">
        <v>1.9192186950415175</v>
      </c>
      <c r="AV26" s="124">
        <v>1.9432061451794818</v>
      </c>
      <c r="AW26" s="124">
        <v>1.9433536733779648</v>
      </c>
      <c r="AX26" s="124">
        <v>2.1346226215014279</v>
      </c>
      <c r="AY26" s="124">
        <v>2.0728442340806943</v>
      </c>
      <c r="AZ26" s="124">
        <v>2.1401660025078608</v>
      </c>
      <c r="BA26" s="124">
        <v>2.1238286050090873</v>
      </c>
      <c r="BB26" s="124">
        <v>2.1159916337948759</v>
      </c>
      <c r="BC26" s="124">
        <v>2.1948799325784862</v>
      </c>
      <c r="BD26" s="124">
        <v>2.1986589170698512</v>
      </c>
      <c r="BE26" s="124">
        <v>2.2416342725402436</v>
      </c>
      <c r="BF26" s="124">
        <v>2.2805370815281409</v>
      </c>
      <c r="BG26" s="124">
        <v>2.4400728291219331</v>
      </c>
      <c r="BH26" s="125">
        <v>2.315301030762797</v>
      </c>
    </row>
    <row r="27" spans="1:60" x14ac:dyDescent="0.25">
      <c r="A27" s="127" t="s">
        <v>271</v>
      </c>
      <c r="B27" s="146">
        <v>12</v>
      </c>
      <c r="C27" s="128">
        <v>1.7879275935331127</v>
      </c>
      <c r="D27" s="128">
        <v>0.61738817102041654</v>
      </c>
      <c r="E27" s="128">
        <v>1.1874908318326229</v>
      </c>
      <c r="F27" s="128">
        <v>1.7736527225268603</v>
      </c>
      <c r="G27" s="128">
        <v>1.2347763420408331</v>
      </c>
      <c r="H27" s="128">
        <v>1.6603459339147331</v>
      </c>
      <c r="I27" s="128">
        <v>1.8628706663159391</v>
      </c>
      <c r="J27" s="128">
        <v>1.043849942332207</v>
      </c>
      <c r="K27" s="128">
        <v>1.1268226300560489</v>
      </c>
      <c r="L27" s="128">
        <v>1.2133640355314537</v>
      </c>
      <c r="M27" s="128">
        <v>1.5952168349487061</v>
      </c>
      <c r="N27" s="128">
        <v>1.121469553428704</v>
      </c>
      <c r="O27" s="128">
        <v>3.1476090568786566</v>
      </c>
      <c r="P27" s="128">
        <v>1.0795371198478385</v>
      </c>
      <c r="Q27" s="128">
        <v>1.7700840047752979</v>
      </c>
      <c r="R27" s="128">
        <v>1.5639905546225288</v>
      </c>
      <c r="S27" s="128">
        <v>0.91002302664859014</v>
      </c>
      <c r="T27" s="128">
        <v>0.44252100119382481</v>
      </c>
      <c r="U27" s="128">
        <v>1.3257786447056925</v>
      </c>
      <c r="V27" s="128">
        <v>1.2383450597923957</v>
      </c>
      <c r="W27" s="128">
        <v>1.2428059569818488</v>
      </c>
      <c r="X27" s="128">
        <v>0.91448392383804478</v>
      </c>
      <c r="Y27" s="128">
        <v>0.84489392768256333</v>
      </c>
      <c r="Z27" s="128">
        <v>1.4783413285850144</v>
      </c>
      <c r="AA27" s="128">
        <v>0.58080881406689444</v>
      </c>
      <c r="AB27" s="128">
        <v>0.46928638433054753</v>
      </c>
      <c r="AC27" s="128">
        <v>1.3302395418951454</v>
      </c>
      <c r="AD27" s="128">
        <v>1.1179008356771414</v>
      </c>
      <c r="AE27" s="128">
        <v>0.77887264927864608</v>
      </c>
      <c r="AF27" s="128">
        <v>1.7459951599522461</v>
      </c>
      <c r="AG27" s="128">
        <v>1.2740322373080259</v>
      </c>
      <c r="AH27" s="128">
        <v>0.40772600311608409</v>
      </c>
      <c r="AI27" s="128">
        <v>1.96993219886283</v>
      </c>
      <c r="AJ27" s="128">
        <v>1.3650345399728852</v>
      </c>
      <c r="AK27" s="128">
        <v>1.8120164383561645</v>
      </c>
      <c r="AL27" s="128">
        <v>1.2249623682240336</v>
      </c>
      <c r="AM27" s="128">
        <v>1.1544801926306634</v>
      </c>
      <c r="AN27" s="128">
        <v>1.3802015904170297</v>
      </c>
      <c r="AO27" s="128">
        <v>1.3480831306529604</v>
      </c>
      <c r="AP27" s="128">
        <v>1.2401294186681779</v>
      </c>
      <c r="AQ27" s="128">
        <v>1.2945523643795152</v>
      </c>
      <c r="AR27" s="128">
        <v>1.3694954371623382</v>
      </c>
      <c r="AS27" s="128">
        <v>1.812908617794055</v>
      </c>
      <c r="AT27" s="128">
        <v>1.256188648550211</v>
      </c>
      <c r="AU27" s="128">
        <v>0.61025073551729025</v>
      </c>
      <c r="AV27" s="128">
        <v>0.52549368891766612</v>
      </c>
      <c r="AW27" s="128">
        <v>0.49426740859148965</v>
      </c>
      <c r="AX27" s="128">
        <v>1.9913445053722094</v>
      </c>
      <c r="AY27" s="128">
        <v>1.1616176281337904</v>
      </c>
      <c r="AZ27" s="128">
        <v>1.4016138969264074</v>
      </c>
      <c r="BA27" s="128">
        <v>1.7442108010764654</v>
      </c>
      <c r="BB27" s="128">
        <v>1.0090549442544667</v>
      </c>
      <c r="BC27" s="128">
        <v>0.88414982294975775</v>
      </c>
      <c r="BD27" s="128">
        <v>1.4872631229639219</v>
      </c>
      <c r="BE27" s="128">
        <v>1.1758924991400412</v>
      </c>
      <c r="BF27" s="128">
        <v>1.5550687602436213</v>
      </c>
      <c r="BG27" s="128">
        <v>1.7638387487100626</v>
      </c>
      <c r="BH27" s="129">
        <v>1.1250382711802682</v>
      </c>
    </row>
    <row r="29" spans="1:60" s="122" customFormat="1" ht="78.75" thickBot="1" x14ac:dyDescent="0.3">
      <c r="A29" s="121" t="s">
        <v>273</v>
      </c>
      <c r="B29" s="149">
        <v>1</v>
      </c>
      <c r="C29" s="130" t="s">
        <v>205</v>
      </c>
      <c r="D29" s="130" t="s">
        <v>206</v>
      </c>
      <c r="E29" s="130" t="s">
        <v>207</v>
      </c>
      <c r="F29" s="130" t="s">
        <v>208</v>
      </c>
      <c r="G29" s="130" t="s">
        <v>209</v>
      </c>
      <c r="H29" s="130" t="s">
        <v>210</v>
      </c>
      <c r="I29" s="130" t="s">
        <v>211</v>
      </c>
      <c r="J29" s="130" t="s">
        <v>212</v>
      </c>
      <c r="K29" s="130" t="s">
        <v>213</v>
      </c>
      <c r="L29" s="130" t="s">
        <v>214</v>
      </c>
      <c r="M29" s="130" t="s">
        <v>215</v>
      </c>
      <c r="N29" s="130" t="s">
        <v>216</v>
      </c>
      <c r="O29" s="130" t="s">
        <v>217</v>
      </c>
      <c r="P29" s="130" t="s">
        <v>218</v>
      </c>
      <c r="Q29" s="130" t="s">
        <v>219</v>
      </c>
      <c r="R29" s="130" t="s">
        <v>220</v>
      </c>
      <c r="S29" s="130" t="s">
        <v>221</v>
      </c>
      <c r="T29" s="130" t="s">
        <v>222</v>
      </c>
      <c r="U29" s="130" t="s">
        <v>223</v>
      </c>
      <c r="V29" s="130" t="s">
        <v>224</v>
      </c>
      <c r="W29" s="130" t="s">
        <v>225</v>
      </c>
      <c r="X29" s="130" t="s">
        <v>226</v>
      </c>
      <c r="Y29" s="130" t="s">
        <v>227</v>
      </c>
      <c r="Z29" s="130" t="s">
        <v>228</v>
      </c>
      <c r="AA29" s="130" t="s">
        <v>229</v>
      </c>
      <c r="AB29" s="130" t="s">
        <v>230</v>
      </c>
      <c r="AC29" s="130" t="s">
        <v>231</v>
      </c>
      <c r="AD29" s="130" t="s">
        <v>232</v>
      </c>
      <c r="AE29" s="130" t="s">
        <v>233</v>
      </c>
      <c r="AF29" s="130" t="s">
        <v>234</v>
      </c>
      <c r="AG29" s="130" t="s">
        <v>235</v>
      </c>
      <c r="AH29" s="130" t="s">
        <v>236</v>
      </c>
      <c r="AI29" s="130" t="s">
        <v>237</v>
      </c>
      <c r="AJ29" s="130" t="s">
        <v>238</v>
      </c>
      <c r="AK29" s="130" t="s">
        <v>239</v>
      </c>
      <c r="AL29" s="130" t="s">
        <v>240</v>
      </c>
      <c r="AM29" s="130" t="s">
        <v>241</v>
      </c>
      <c r="AN29" s="130" t="s">
        <v>242</v>
      </c>
      <c r="AO29" s="130" t="s">
        <v>243</v>
      </c>
      <c r="AP29" s="130" t="s">
        <v>244</v>
      </c>
      <c r="AQ29" s="130" t="s">
        <v>245</v>
      </c>
      <c r="AR29" s="130" t="s">
        <v>246</v>
      </c>
      <c r="AS29" s="130" t="s">
        <v>247</v>
      </c>
      <c r="AT29" s="130" t="s">
        <v>248</v>
      </c>
      <c r="AU29" s="130" t="s">
        <v>249</v>
      </c>
      <c r="AV29" s="130" t="s">
        <v>250</v>
      </c>
      <c r="AW29" s="130" t="s">
        <v>251</v>
      </c>
      <c r="AX29" s="130" t="s">
        <v>252</v>
      </c>
      <c r="AY29" s="130" t="s">
        <v>253</v>
      </c>
      <c r="AZ29" s="130" t="s">
        <v>254</v>
      </c>
      <c r="BA29" s="130" t="s">
        <v>255</v>
      </c>
      <c r="BB29" s="130" t="s">
        <v>256</v>
      </c>
      <c r="BC29" s="130" t="s">
        <v>257</v>
      </c>
      <c r="BD29" s="130" t="s">
        <v>258</v>
      </c>
      <c r="BE29" s="130" t="s">
        <v>259</v>
      </c>
      <c r="BF29" s="130" t="s">
        <v>260</v>
      </c>
      <c r="BG29" s="130" t="s">
        <v>261</v>
      </c>
      <c r="BH29" s="131" t="s">
        <v>262</v>
      </c>
    </row>
    <row r="30" spans="1:60" ht="15.75" thickTop="1" x14ac:dyDescent="0.25">
      <c r="A30" s="123" t="s">
        <v>263</v>
      </c>
      <c r="B30" s="143">
        <v>2</v>
      </c>
      <c r="C30" s="124">
        <v>-1.2863173738617459</v>
      </c>
      <c r="D30" s="124">
        <v>0.34951845374466967</v>
      </c>
      <c r="E30" s="124">
        <v>3.666324450973471E-2</v>
      </c>
      <c r="F30" s="124">
        <v>-0.31596595321977444</v>
      </c>
      <c r="G30" s="124">
        <v>0.30536704845070978</v>
      </c>
      <c r="H30" s="124">
        <v>-0.30393177270778154</v>
      </c>
      <c r="I30" s="124">
        <v>-1.4445505765219646</v>
      </c>
      <c r="J30" s="124">
        <v>7.7345772342585772E-2</v>
      </c>
      <c r="K30" s="124">
        <v>1.0584938075703747</v>
      </c>
      <c r="L30" s="124">
        <v>-1.0740685449422813</v>
      </c>
      <c r="M30" s="124">
        <v>-0.27788166319857349</v>
      </c>
      <c r="N30" s="124">
        <v>0.18778387820598888</v>
      </c>
      <c r="O30" s="124">
        <v>-2.0326479044726655</v>
      </c>
      <c r="P30" s="124">
        <v>-0.95574461566425561</v>
      </c>
      <c r="Q30" s="124">
        <v>-1.2027350095290938</v>
      </c>
      <c r="R30" s="124">
        <v>-0.97868793545270427</v>
      </c>
      <c r="S30" s="124">
        <v>1.3668570436792111</v>
      </c>
      <c r="T30" s="124">
        <v>7.0745758560264452E-2</v>
      </c>
      <c r="U30" s="124">
        <v>-1.8606238765728771</v>
      </c>
      <c r="V30" s="124">
        <v>-1.5133430459468189</v>
      </c>
      <c r="W30" s="124">
        <v>-0.62854436027337524</v>
      </c>
      <c r="X30" s="124">
        <v>-4.2391655393941734E-2</v>
      </c>
      <c r="Y30" s="124">
        <v>0.36364258536472505</v>
      </c>
      <c r="Z30" s="124">
        <v>-1.2624202524636001</v>
      </c>
      <c r="AA30" s="124">
        <v>7.297054234595908E-2</v>
      </c>
      <c r="AB30" s="124">
        <v>4.9297476453170766E-3</v>
      </c>
      <c r="AC30" s="124">
        <v>-2.3098374537401414</v>
      </c>
      <c r="AD30" s="124">
        <v>-0.46737062025347992</v>
      </c>
      <c r="AE30" s="124">
        <v>0.65460272119433205</v>
      </c>
      <c r="AF30" s="124">
        <v>-3.2104904403459837</v>
      </c>
      <c r="AG30" s="124">
        <v>-0.32849682327920909</v>
      </c>
      <c r="AH30" s="124">
        <v>1.27730460557828E-2</v>
      </c>
      <c r="AI30" s="124">
        <v>-1.7648109702797135</v>
      </c>
      <c r="AJ30" s="124">
        <v>-0.78345342535061591</v>
      </c>
      <c r="AK30" s="124">
        <v>-2.1022374546842908</v>
      </c>
      <c r="AL30" s="124">
        <v>-1.2545504516276818</v>
      </c>
      <c r="AM30" s="124">
        <v>-2.6315927635166019</v>
      </c>
      <c r="AN30" s="124">
        <v>-8.0369553427169921E-2</v>
      </c>
      <c r="AO30" s="124">
        <v>-0.51845391179122435</v>
      </c>
      <c r="AP30" s="124">
        <v>-0.7554227332682818</v>
      </c>
      <c r="AQ30" s="124">
        <v>-0.68229264908148834</v>
      </c>
      <c r="AR30" s="124">
        <v>-1.7556794620389391</v>
      </c>
      <c r="AS30" s="124">
        <v>-1.033095184798644</v>
      </c>
      <c r="AT30" s="124">
        <v>-0.62075096333517366</v>
      </c>
      <c r="AU30" s="124">
        <v>-0.1206972183154548</v>
      </c>
      <c r="AV30" s="124">
        <v>0.23895959613673176</v>
      </c>
      <c r="AW30" s="124">
        <v>0</v>
      </c>
      <c r="AX30" s="124">
        <v>-0.84720796023526435</v>
      </c>
      <c r="AY30" s="124">
        <v>-0.43952168297061389</v>
      </c>
      <c r="AZ30" s="124">
        <v>-1.5797935079575993</v>
      </c>
      <c r="BA30" s="124">
        <v>-0.53538369852326173</v>
      </c>
      <c r="BB30" s="124">
        <v>0.65013226702091564</v>
      </c>
      <c r="BC30" s="124">
        <v>0.22832684796927585</v>
      </c>
      <c r="BD30" s="124">
        <v>-1.5516133433185713</v>
      </c>
      <c r="BE30" s="124">
        <v>0.31713501946362893</v>
      </c>
      <c r="BF30" s="124">
        <v>-2.1372634716608396</v>
      </c>
      <c r="BG30" s="124">
        <v>-1.0657297025954926</v>
      </c>
      <c r="BH30" s="125">
        <v>0.42257960922472954</v>
      </c>
    </row>
    <row r="31" spans="1:60" x14ac:dyDescent="0.25">
      <c r="A31" s="123" t="s">
        <v>264</v>
      </c>
      <c r="B31" s="143">
        <v>3</v>
      </c>
      <c r="C31" s="124">
        <v>-1.2838109695684716</v>
      </c>
      <c r="D31" s="124">
        <v>0.42174314886084785</v>
      </c>
      <c r="E31" s="124">
        <v>-0.12452731170424937</v>
      </c>
      <c r="F31" s="124">
        <v>-0.33812513205872602</v>
      </c>
      <c r="G31" s="124">
        <v>-0.18565006722374414</v>
      </c>
      <c r="H31" s="124">
        <v>-0.34625760116827542</v>
      </c>
      <c r="I31" s="124">
        <v>-1.6451918014592395</v>
      </c>
      <c r="J31" s="124">
        <v>7.9809077728959676E-2</v>
      </c>
      <c r="K31" s="124">
        <v>0.85100533260619204</v>
      </c>
      <c r="L31" s="124">
        <v>-2.0829591051374972</v>
      </c>
      <c r="M31" s="124">
        <v>-0.33346401549619781</v>
      </c>
      <c r="N31" s="124">
        <v>0.17020304164606215</v>
      </c>
      <c r="O31" s="124">
        <v>-2.0488446069820547</v>
      </c>
      <c r="P31" s="124">
        <v>-0.96758222827238938</v>
      </c>
      <c r="Q31" s="124">
        <v>-2.0389295872036999</v>
      </c>
      <c r="R31" s="124">
        <v>-1.8129962793198988</v>
      </c>
      <c r="S31" s="124">
        <v>0.86573981508520959</v>
      </c>
      <c r="T31" s="124">
        <v>8.0894764233808619E-2</v>
      </c>
      <c r="U31" s="124">
        <v>-1.9448382810364757</v>
      </c>
      <c r="V31" s="124">
        <v>-2.6844185339444615</v>
      </c>
      <c r="W31" s="124">
        <v>-0.66686192755640727</v>
      </c>
      <c r="X31" s="124">
        <v>-4.261383909109661E-2</v>
      </c>
      <c r="Y31" s="124">
        <v>0.24429777954252982</v>
      </c>
      <c r="Z31" s="124">
        <v>-1.7574859510942411</v>
      </c>
      <c r="AA31" s="124">
        <v>8.4625858187196423E-2</v>
      </c>
      <c r="AB31" s="124">
        <v>5.6640641769147597E-3</v>
      </c>
      <c r="AC31" s="124">
        <v>-2.361792673822781</v>
      </c>
      <c r="AD31" s="124">
        <v>-0.71889660294518198</v>
      </c>
      <c r="AE31" s="124">
        <v>0.37328952871966414</v>
      </c>
      <c r="AF31" s="124">
        <v>-4.0587976059267303</v>
      </c>
      <c r="AG31" s="124">
        <v>-0.38937873706004461</v>
      </c>
      <c r="AH31" s="124">
        <v>1.7024185565768221E-2</v>
      </c>
      <c r="AI31" s="124">
        <v>-2.111657224913766</v>
      </c>
      <c r="AJ31" s="124">
        <v>-1.3262551406061154</v>
      </c>
      <c r="AK31" s="124">
        <v>-2.2261332496130861</v>
      </c>
      <c r="AL31" s="124">
        <v>-2.4714952630541847</v>
      </c>
      <c r="AM31" s="124">
        <v>-3.6069773732230654</v>
      </c>
      <c r="AN31" s="124">
        <v>-0.4822184707106601</v>
      </c>
      <c r="AO31" s="124">
        <v>-1.1006434977608768</v>
      </c>
      <c r="AP31" s="124">
        <v>-1.064745236546512</v>
      </c>
      <c r="AQ31" s="124">
        <v>-0.72231253806152429</v>
      </c>
      <c r="AR31" s="124">
        <v>-2.1055171756801161</v>
      </c>
      <c r="AS31" s="124">
        <v>-1.1219273989512784</v>
      </c>
      <c r="AT31" s="124">
        <v>-0.64142895339873662</v>
      </c>
      <c r="AU31" s="124">
        <v>-0.12078177860398247</v>
      </c>
      <c r="AV31" s="124">
        <v>0.23896074756374933</v>
      </c>
      <c r="AW31" s="124">
        <v>0</v>
      </c>
      <c r="AX31" s="124">
        <v>-0.92059757796198938</v>
      </c>
      <c r="AY31" s="124">
        <v>-0.59996727342956258</v>
      </c>
      <c r="AZ31" s="124">
        <v>-2.010721119184923</v>
      </c>
      <c r="BA31" s="124">
        <v>-0.5525240465702258</v>
      </c>
      <c r="BB31" s="124">
        <v>0.39226871616132269</v>
      </c>
      <c r="BC31" s="124">
        <v>5.9941331141343058E-3</v>
      </c>
      <c r="BD31" s="124">
        <v>-2.4603706868728747</v>
      </c>
      <c r="BE31" s="124">
        <v>0.15644956580717015</v>
      </c>
      <c r="BF31" s="124">
        <v>-2.8798724476436477</v>
      </c>
      <c r="BG31" s="124">
        <v>-1.1842759772869818</v>
      </c>
      <c r="BH31" s="125">
        <v>0.13147669008815294</v>
      </c>
    </row>
    <row r="32" spans="1:60" x14ac:dyDescent="0.25">
      <c r="A32" s="123" t="s">
        <v>83</v>
      </c>
      <c r="B32" s="143">
        <v>4</v>
      </c>
      <c r="C32" s="124">
        <v>-2.6265217407634577E-3</v>
      </c>
      <c r="D32" s="124">
        <v>0</v>
      </c>
      <c r="E32" s="124">
        <v>1.5159612757742439E-2</v>
      </c>
      <c r="F32" s="124">
        <v>1.5217133962877313E-2</v>
      </c>
      <c r="G32" s="124">
        <v>5.2232842817701679E-2</v>
      </c>
      <c r="H32" s="124">
        <v>-1.9816221991451731E-4</v>
      </c>
      <c r="I32" s="124">
        <v>5.972128893241422E-3</v>
      </c>
      <c r="J32" s="124">
        <v>0</v>
      </c>
      <c r="K32" s="124">
        <v>5.7104595696428687E-2</v>
      </c>
      <c r="L32" s="124">
        <v>8.9878018167404344E-2</v>
      </c>
      <c r="M32" s="124">
        <v>1.8026971350088212E-3</v>
      </c>
      <c r="N32" s="124">
        <v>-7.5672207951922558E-5</v>
      </c>
      <c r="O32" s="124">
        <v>7.5142817965024155E-3</v>
      </c>
      <c r="P32" s="124">
        <v>4.8615589608781885E-4</v>
      </c>
      <c r="Q32" s="124">
        <v>9.5441258379329999E-2</v>
      </c>
      <c r="R32" s="124">
        <v>8.2484951651470767E-2</v>
      </c>
      <c r="S32" s="124">
        <v>0.42578344293638687</v>
      </c>
      <c r="T32" s="124">
        <v>5.8843733993959831E-4</v>
      </c>
      <c r="U32" s="124">
        <v>2.4949671549506384E-2</v>
      </c>
      <c r="V32" s="124">
        <v>9.7607696829877827E-2</v>
      </c>
      <c r="W32" s="124">
        <v>2.6645557486025036E-3</v>
      </c>
      <c r="X32" s="124">
        <v>2.1381534854148518E-3</v>
      </c>
      <c r="Y32" s="124">
        <v>2.1527418840770789E-2</v>
      </c>
      <c r="Z32" s="124">
        <v>2.3431319649203645E-2</v>
      </c>
      <c r="AA32" s="124">
        <v>1.3263677256228316E-4</v>
      </c>
      <c r="AB32" s="124">
        <v>0</v>
      </c>
      <c r="AC32" s="124">
        <v>4.1381407647899209E-2</v>
      </c>
      <c r="AD32" s="124">
        <v>3.7823777526545824E-2</v>
      </c>
      <c r="AE32" s="124">
        <v>6.5768972371807552E-2</v>
      </c>
      <c r="AF32" s="124">
        <v>0.1046083266930536</v>
      </c>
      <c r="AG32" s="124">
        <v>1.0459746837805839E-2</v>
      </c>
      <c r="AH32" s="124">
        <v>0</v>
      </c>
      <c r="AI32" s="124">
        <v>0.10373830796602193</v>
      </c>
      <c r="AJ32" s="124">
        <v>0.14276792812940614</v>
      </c>
      <c r="AK32" s="124">
        <v>1.6559285808223551E-2</v>
      </c>
      <c r="AL32" s="124">
        <v>6.6796211570937958E-2</v>
      </c>
      <c r="AM32" s="124">
        <v>0.17507907078366272</v>
      </c>
      <c r="AN32" s="124">
        <v>0.12647102146616485</v>
      </c>
      <c r="AO32" s="124">
        <v>4.1894413631543614E-2</v>
      </c>
      <c r="AP32" s="124">
        <v>8.2070261387992893E-2</v>
      </c>
      <c r="AQ32" s="124">
        <v>5.6441868246420663E-3</v>
      </c>
      <c r="AR32" s="124">
        <v>3.9375692956219531E-2</v>
      </c>
      <c r="AS32" s="124">
        <v>1.1399422267063423E-2</v>
      </c>
      <c r="AT32" s="124">
        <v>0.14953617287693136</v>
      </c>
      <c r="AU32" s="124">
        <v>-1.4911479337888003E-4</v>
      </c>
      <c r="AV32" s="124">
        <v>0</v>
      </c>
      <c r="AW32" s="124">
        <v>0</v>
      </c>
      <c r="AX32" s="124">
        <v>2.3995325050832361E-2</v>
      </c>
      <c r="AY32" s="124">
        <v>2.2141376132241705E-2</v>
      </c>
      <c r="AZ32" s="124">
        <v>4.8894125465793345E-2</v>
      </c>
      <c r="BA32" s="124">
        <v>7.0848321259907475E-3</v>
      </c>
      <c r="BB32" s="124">
        <v>0.27268842148467753</v>
      </c>
      <c r="BC32" s="124">
        <v>5.109328752212685E-2</v>
      </c>
      <c r="BD32" s="124">
        <v>5.4500591586018166E-2</v>
      </c>
      <c r="BE32" s="124">
        <v>8.2370761185853875E-3</v>
      </c>
      <c r="BF32" s="124">
        <v>9.0795022998056557E-2</v>
      </c>
      <c r="BG32" s="124">
        <v>8.9085806407435634E-3</v>
      </c>
      <c r="BH32" s="125">
        <v>0.12887893227656577</v>
      </c>
    </row>
    <row r="33" spans="1:60" x14ac:dyDescent="0.25">
      <c r="A33" s="123" t="s">
        <v>13</v>
      </c>
      <c r="B33" s="143">
        <v>5</v>
      </c>
      <c r="C33" s="124">
        <v>6.5744935861781303E-2</v>
      </c>
      <c r="D33" s="124">
        <v>5.8725975881184561E-3</v>
      </c>
      <c r="E33" s="124">
        <v>1.2108204416352896E-2</v>
      </c>
      <c r="F33" s="124">
        <v>9.2196546359421608E-3</v>
      </c>
      <c r="G33" s="124">
        <v>-3.1239486591396005E-2</v>
      </c>
      <c r="H33" s="124">
        <v>6.5928745724518609E-2</v>
      </c>
      <c r="I33" s="124">
        <v>0.23242208682157514</v>
      </c>
      <c r="J33" s="124">
        <v>-0.12075996680927178</v>
      </c>
      <c r="K33" s="124">
        <v>4.6492747091979252E-2</v>
      </c>
      <c r="L33" s="124">
        <v>0.14352671276808351</v>
      </c>
      <c r="M33" s="124">
        <v>6.0575159771447194E-2</v>
      </c>
      <c r="N33" s="124">
        <v>7.0764398273671578E-3</v>
      </c>
      <c r="O33" s="124">
        <v>7.5505252068800988E-2</v>
      </c>
      <c r="P33" s="124">
        <v>1.0889169385332084E-4</v>
      </c>
      <c r="Q33" s="124">
        <v>5.8210724668016044E-2</v>
      </c>
      <c r="R33" s="124">
        <v>0.17318294999503264</v>
      </c>
      <c r="S33" s="124">
        <v>-1.440973816070428E-2</v>
      </c>
      <c r="T33" s="124">
        <v>6.5834331389850826E-3</v>
      </c>
      <c r="U33" s="124">
        <v>3.9251553638724582E-2</v>
      </c>
      <c r="V33" s="124">
        <v>-0.14304479448073926</v>
      </c>
      <c r="W33" s="124">
        <v>8.110630104430647E-3</v>
      </c>
      <c r="X33" s="124">
        <v>6.0557121381729694E-4</v>
      </c>
      <c r="Y33" s="124">
        <v>6.1847368029625392E-2</v>
      </c>
      <c r="Z33" s="124">
        <v>0.14520840273836069</v>
      </c>
      <c r="AA33" s="124">
        <v>5.8811096384090197E-2</v>
      </c>
      <c r="AB33" s="124">
        <v>1.0019371563395796E-4</v>
      </c>
      <c r="AC33" s="124">
        <v>-1.6517251502661838E-4</v>
      </c>
      <c r="AD33" s="124">
        <v>6.9416787425963189E-2</v>
      </c>
      <c r="AE33" s="124">
        <v>0.14183655143072743</v>
      </c>
      <c r="AF33" s="124">
        <v>0.14977221875493926</v>
      </c>
      <c r="AG33" s="124">
        <v>1.0799109779867571E-2</v>
      </c>
      <c r="AH33" s="124">
        <v>-9.4603500005032118E-5</v>
      </c>
      <c r="AI33" s="124">
        <v>6.1179533799578308E-2</v>
      </c>
      <c r="AJ33" s="124">
        <v>0.31651331082479361</v>
      </c>
      <c r="AK33" s="124">
        <v>3.7530100677992506E-2</v>
      </c>
      <c r="AL33" s="124">
        <v>3.1806862525034701E-2</v>
      </c>
      <c r="AM33" s="124">
        <v>2.7002745176933785E-2</v>
      </c>
      <c r="AN33" s="124">
        <v>0.1771923262555673</v>
      </c>
      <c r="AO33" s="124">
        <v>0.18373288596361786</v>
      </c>
      <c r="AP33" s="124">
        <v>5.1011572010637232E-2</v>
      </c>
      <c r="AQ33" s="124">
        <v>2.1817659310405077E-3</v>
      </c>
      <c r="AR33" s="124">
        <v>5.590858260973354E-2</v>
      </c>
      <c r="AS33" s="124">
        <v>0.10183540301065731</v>
      </c>
      <c r="AT33" s="124">
        <v>-2.5952613049159311E-2</v>
      </c>
      <c r="AU33" s="124">
        <v>8.3933056523268195E-3</v>
      </c>
      <c r="AV33" s="124">
        <v>1.1591510207535598E-4</v>
      </c>
      <c r="AW33" s="124">
        <v>0</v>
      </c>
      <c r="AX33" s="124">
        <v>9.2211991792542622E-2</v>
      </c>
      <c r="AY33" s="124">
        <v>8.8763681757215551E-2</v>
      </c>
      <c r="AZ33" s="124">
        <v>5.9505575015276028E-2</v>
      </c>
      <c r="BA33" s="124">
        <v>8.8785154663748728E-2</v>
      </c>
      <c r="BB33" s="124">
        <v>2.9174724673400289E-2</v>
      </c>
      <c r="BC33" s="124">
        <v>0.1366814074709036</v>
      </c>
      <c r="BD33" s="124">
        <v>0.10605005187307244</v>
      </c>
      <c r="BE33" s="124">
        <v>1.0589844184349191E-2</v>
      </c>
      <c r="BF33" s="124">
        <v>1.8289125714211065E-2</v>
      </c>
      <c r="BG33" s="124">
        <v>0.14245250373797799</v>
      </c>
      <c r="BH33" s="125">
        <v>3.4954485752885935E-2</v>
      </c>
    </row>
    <row r="34" spans="1:60" x14ac:dyDescent="0.25">
      <c r="A34" s="123" t="s">
        <v>16</v>
      </c>
      <c r="B34" s="143">
        <v>6</v>
      </c>
      <c r="C34" s="124">
        <v>2.6678472584779403E-4</v>
      </c>
      <c r="D34" s="124">
        <v>0</v>
      </c>
      <c r="E34" s="124">
        <v>-3.5697002598881464E-4</v>
      </c>
      <c r="F34" s="124">
        <v>-2.2501601544611092E-4</v>
      </c>
      <c r="G34" s="124">
        <v>-1.4522884888462997E-3</v>
      </c>
      <c r="H34" s="124">
        <v>-6.8718122375691065E-3</v>
      </c>
      <c r="I34" s="124">
        <v>-6.6985811800732197E-4</v>
      </c>
      <c r="J34" s="124">
        <v>-4.4930330456276216E-2</v>
      </c>
      <c r="K34" s="124">
        <v>-6.1054500752909888E-3</v>
      </c>
      <c r="L34" s="124">
        <v>-1.9795807612585755E-2</v>
      </c>
      <c r="M34" s="124">
        <v>-3.3814641123179747E-4</v>
      </c>
      <c r="N34" s="124">
        <v>-2.4476903058300295E-3</v>
      </c>
      <c r="O34" s="124">
        <v>-3.4964624852251431E-3</v>
      </c>
      <c r="P34" s="124">
        <v>-2.6153453350276297E-4</v>
      </c>
      <c r="Q34" s="124">
        <v>-4.6410089041284235E-3</v>
      </c>
      <c r="R34" s="124">
        <v>-4.6511335005431382E-3</v>
      </c>
      <c r="S34" s="124">
        <v>-6.0586966285277058E-2</v>
      </c>
      <c r="T34" s="124">
        <v>-3.8674297814827091E-4</v>
      </c>
      <c r="U34" s="124">
        <v>-1.0433261912658236E-2</v>
      </c>
      <c r="V34" s="124">
        <v>-3.9454114023630702E-3</v>
      </c>
      <c r="W34" s="124">
        <v>-2.3208399723787716E-3</v>
      </c>
      <c r="X34" s="124">
        <v>-8.1986444312892159E-4</v>
      </c>
      <c r="Y34" s="124">
        <v>-1.2336295637710856E-3</v>
      </c>
      <c r="Z34" s="124">
        <v>-9.0975301615556035E-3</v>
      </c>
      <c r="AA34" s="124">
        <v>-6.0424407707078138E-4</v>
      </c>
      <c r="AB34" s="124">
        <v>0</v>
      </c>
      <c r="AC34" s="124">
        <v>-3.835149278190618E-2</v>
      </c>
      <c r="AD34" s="124">
        <v>-2.7035363202693202E-4</v>
      </c>
      <c r="AE34" s="124">
        <v>-2.8085559555795194E-2</v>
      </c>
      <c r="AF34" s="124">
        <v>3.4112634847004637E-3</v>
      </c>
      <c r="AG34" s="124">
        <v>-5.7861557223028723E-4</v>
      </c>
      <c r="AH34" s="124">
        <v>-9.4603500005032118E-5</v>
      </c>
      <c r="AI34" s="124">
        <v>-1.6167165385584503E-2</v>
      </c>
      <c r="AJ34" s="124">
        <v>-3.2361963538212698E-3</v>
      </c>
      <c r="AK34" s="124">
        <v>-1.555258642121821E-2</v>
      </c>
      <c r="AL34" s="124">
        <v>-2.2946981883606079E-3</v>
      </c>
      <c r="AM34" s="124">
        <v>-1.6224641917094579E-3</v>
      </c>
      <c r="AN34" s="124">
        <v>-2.5407511814340204E-2</v>
      </c>
      <c r="AO34" s="124">
        <v>-1.0178949673987405E-2</v>
      </c>
      <c r="AP34" s="124">
        <v>-4.724199689379838E-3</v>
      </c>
      <c r="AQ34" s="124">
        <v>-2.2559109024937865E-2</v>
      </c>
      <c r="AR34" s="124">
        <v>-3.8367844188352089E-2</v>
      </c>
      <c r="AS34" s="124">
        <v>-1.2633517330341333E-2</v>
      </c>
      <c r="AT34" s="124">
        <v>-9.3365924153443094E-2</v>
      </c>
      <c r="AU34" s="124">
        <v>-5.8514854946590221E-4</v>
      </c>
      <c r="AV34" s="124">
        <v>0</v>
      </c>
      <c r="AW34" s="124">
        <v>0</v>
      </c>
      <c r="AX34" s="124">
        <v>-7.9602772452652543E-3</v>
      </c>
      <c r="AY34" s="124">
        <v>-8.4390038869477577E-4</v>
      </c>
      <c r="AZ34" s="124">
        <v>-5.0602219182622676E-3</v>
      </c>
      <c r="BA34" s="124">
        <v>-6.8380682054603754E-3</v>
      </c>
      <c r="BB34" s="124">
        <v>-6.1137200008541204E-5</v>
      </c>
      <c r="BC34" s="124">
        <v>-3.8004451260702271E-3</v>
      </c>
      <c r="BD34" s="124">
        <v>-6.9402848458549702E-4</v>
      </c>
      <c r="BE34" s="124">
        <v>-6.7085728180632104E-3</v>
      </c>
      <c r="BF34" s="124">
        <v>-4.2112325371554848E-2</v>
      </c>
      <c r="BG34" s="124">
        <v>-1.6187281767630117E-2</v>
      </c>
      <c r="BH34" s="125">
        <v>-4.7230748853219066E-4</v>
      </c>
    </row>
    <row r="35" spans="1:60" x14ac:dyDescent="0.25">
      <c r="A35" s="126" t="s">
        <v>266</v>
      </c>
      <c r="B35" s="143">
        <v>7</v>
      </c>
      <c r="C35" s="124">
        <v>-8.4352805789031059E-3</v>
      </c>
      <c r="D35" s="124">
        <v>0</v>
      </c>
      <c r="E35" s="124">
        <v>-5.717347621187846E-2</v>
      </c>
      <c r="F35" s="124">
        <v>1.2728613723474074E-3</v>
      </c>
      <c r="G35" s="124">
        <v>-7.7967860525426688E-2</v>
      </c>
      <c r="H35" s="124">
        <v>3.5718495350284312E-4</v>
      </c>
      <c r="I35" s="124">
        <v>3.4509644252982141E-2</v>
      </c>
      <c r="J35" s="124">
        <v>-3.7351929185694076E-3</v>
      </c>
      <c r="K35" s="124">
        <v>-3.0817136340900074E-2</v>
      </c>
      <c r="L35" s="124">
        <v>-4.6421373917799859E-2</v>
      </c>
      <c r="M35" s="124">
        <v>1.914280350311719E-2</v>
      </c>
      <c r="N35" s="124">
        <v>1.2039083457445353E-2</v>
      </c>
      <c r="O35" s="124">
        <v>6.5899301267533898E-3</v>
      </c>
      <c r="P35" s="124">
        <v>-1.2970322919982399E-3</v>
      </c>
      <c r="Q35" s="124">
        <v>-6.7826804930558801E-2</v>
      </c>
      <c r="R35" s="124">
        <v>-0.21690230893495629</v>
      </c>
      <c r="S35" s="124">
        <v>-8.7676180748464463E-2</v>
      </c>
      <c r="T35" s="124">
        <v>6.1325066948124014E-3</v>
      </c>
      <c r="U35" s="124">
        <v>-1.3310564873243991E-2</v>
      </c>
      <c r="V35" s="124">
        <v>-0.23567151094003613</v>
      </c>
      <c r="W35" s="124">
        <v>1.8117198092444582E-3</v>
      </c>
      <c r="X35" s="124">
        <v>3.5425276422710913E-2</v>
      </c>
      <c r="Y35" s="124">
        <v>-8.380136251032308E-2</v>
      </c>
      <c r="Z35" s="124">
        <v>5.8646491223754343E-2</v>
      </c>
      <c r="AA35" s="124">
        <v>1.9467655888309274E-2</v>
      </c>
      <c r="AB35" s="124">
        <v>1.6928362409355651E-4</v>
      </c>
      <c r="AC35" s="124">
        <v>-5.7787186238878123E-2</v>
      </c>
      <c r="AD35" s="124">
        <v>-0.10924845554388647</v>
      </c>
      <c r="AE35" s="124">
        <v>-6.5717972479323289E-2</v>
      </c>
      <c r="AF35" s="124">
        <v>-1.6216032122973758E-2</v>
      </c>
      <c r="AG35" s="124">
        <v>8.4349979142301756E-3</v>
      </c>
      <c r="AH35" s="124">
        <v>4.026773433746445E-3</v>
      </c>
      <c r="AI35" s="124">
        <v>-9.8732312461309882E-2</v>
      </c>
      <c r="AJ35" s="124">
        <v>9.8443394815038148E-3</v>
      </c>
      <c r="AK35" s="124">
        <v>-2.483597217237947E-3</v>
      </c>
      <c r="AL35" s="124">
        <v>-7.908791466538273E-2</v>
      </c>
      <c r="AM35" s="124">
        <v>-0.11893676761142613</v>
      </c>
      <c r="AN35" s="124">
        <v>-3.6291130855874363E-5</v>
      </c>
      <c r="AO35" s="124">
        <v>-7.1247483168446715E-2</v>
      </c>
      <c r="AP35" s="124">
        <v>-8.2717009126906299E-2</v>
      </c>
      <c r="AQ35" s="124">
        <v>7.5658303603105981E-3</v>
      </c>
      <c r="AR35" s="124">
        <v>-6.8652246266515157E-2</v>
      </c>
      <c r="AS35" s="124">
        <v>7.3015533087327708E-3</v>
      </c>
      <c r="AT35" s="124">
        <v>-2.9926404906005698E-2</v>
      </c>
      <c r="AU35" s="124">
        <v>2.9260525081483369E-3</v>
      </c>
      <c r="AV35" s="124">
        <v>5.0305404860204403E-5</v>
      </c>
      <c r="AW35" s="124">
        <v>-1.6902843695951737E-5</v>
      </c>
      <c r="AX35" s="124">
        <v>1.2083900233402627E-2</v>
      </c>
      <c r="AY35" s="124">
        <v>-5.687212890519374E-2</v>
      </c>
      <c r="AZ35" s="124">
        <v>4.8642310339251246E-2</v>
      </c>
      <c r="BA35" s="124">
        <v>1.0629371775400824E-3</v>
      </c>
      <c r="BB35" s="124">
        <v>3.3311752391506466E-2</v>
      </c>
      <c r="BC35" s="124">
        <v>-4.7410668741565361E-2</v>
      </c>
      <c r="BD35" s="124">
        <v>5.1158522210731139E-2</v>
      </c>
      <c r="BE35" s="124">
        <v>3.7912637805951731E-3</v>
      </c>
      <c r="BF35" s="124">
        <v>5.39858621643261E-3</v>
      </c>
      <c r="BG35" s="124">
        <v>1.8189705215623058E-2</v>
      </c>
      <c r="BH35" s="125">
        <v>8.6483893852828744E-3</v>
      </c>
    </row>
    <row r="36" spans="1:60" x14ac:dyDescent="0.25">
      <c r="A36" s="126" t="s">
        <v>267</v>
      </c>
      <c r="B36" s="143">
        <v>8</v>
      </c>
      <c r="C36" s="124">
        <v>-5.3030669308188842E-3</v>
      </c>
      <c r="D36" s="124">
        <v>0</v>
      </c>
      <c r="E36" s="124">
        <v>-3.727842051009924E-2</v>
      </c>
      <c r="F36" s="124">
        <v>1.736824161602056E-3</v>
      </c>
      <c r="G36" s="124">
        <v>-5.717070654009114E-2</v>
      </c>
      <c r="H36" s="124">
        <v>7.7520274934861366E-4</v>
      </c>
      <c r="I36" s="124">
        <v>3.9807918443550937E-2</v>
      </c>
      <c r="J36" s="124">
        <v>1.219933650807164E-2</v>
      </c>
      <c r="K36" s="124">
        <v>-1.6026800579213799E-2</v>
      </c>
      <c r="L36" s="124">
        <v>-3.0893517158613474E-3</v>
      </c>
      <c r="M36" s="124">
        <v>2.0435008488223157E-2</v>
      </c>
      <c r="N36" s="124">
        <v>2.2327433015874382E-2</v>
      </c>
      <c r="O36" s="124">
        <v>1.1255036093843674E-2</v>
      </c>
      <c r="P36" s="124">
        <v>-1.3071127015161742E-3</v>
      </c>
      <c r="Q36" s="124">
        <v>-0.10878476723485754</v>
      </c>
      <c r="R36" s="124">
        <v>-0.10642660116937759</v>
      </c>
      <c r="S36" s="124">
        <v>-4.0953711265673036E-2</v>
      </c>
      <c r="T36" s="124">
        <v>6.5057227908265755E-3</v>
      </c>
      <c r="U36" s="124">
        <v>-4.8674225652549164E-3</v>
      </c>
      <c r="V36" s="124">
        <v>-0.15492058841926176</v>
      </c>
      <c r="W36" s="124">
        <v>2.9421262650639697E-3</v>
      </c>
      <c r="X36" s="124">
        <v>3.6128504351086721E-2</v>
      </c>
      <c r="Y36" s="124">
        <v>-4.5829541117032697E-2</v>
      </c>
      <c r="Z36" s="124">
        <v>7.0484295391987972E-2</v>
      </c>
      <c r="AA36" s="124">
        <v>2.0110793040774764E-2</v>
      </c>
      <c r="AB36" s="124">
        <v>1.9090247340812654E-4</v>
      </c>
      <c r="AC36" s="124">
        <v>-3.1201614816005516E-2</v>
      </c>
      <c r="AD36" s="124">
        <v>-0.1063833219968171</v>
      </c>
      <c r="AE36" s="124">
        <v>-3.7409616314139055E-2</v>
      </c>
      <c r="AF36" s="124">
        <v>-1.0983440668914175E-2</v>
      </c>
      <c r="AG36" s="124">
        <v>9.986025632630343E-3</v>
      </c>
      <c r="AH36" s="124">
        <v>4.4259765517246866E-3</v>
      </c>
      <c r="AI36" s="124">
        <v>-1.4631306372754163E-2</v>
      </c>
      <c r="AJ36" s="124">
        <v>3.949978681500043E-2</v>
      </c>
      <c r="AK36" s="124">
        <v>1.7335900577481907E-3</v>
      </c>
      <c r="AL36" s="124">
        <v>-6.9712520474700321E-2</v>
      </c>
      <c r="AM36" s="124">
        <v>-7.2931518621691963E-2</v>
      </c>
      <c r="AN36" s="124">
        <v>1.2459261097664652E-2</v>
      </c>
      <c r="AO36" s="124">
        <v>-2.5825048210801713E-2</v>
      </c>
      <c r="AP36" s="124">
        <v>-6.4010571118663762E-2</v>
      </c>
      <c r="AQ36" s="124">
        <v>1.1781304613329387E-2</v>
      </c>
      <c r="AR36" s="124">
        <v>-4.7076850040642146E-2</v>
      </c>
      <c r="AS36" s="124">
        <v>1.1153766641812298E-2</v>
      </c>
      <c r="AT36" s="124">
        <v>-2.5913398581268451E-2</v>
      </c>
      <c r="AU36" s="124">
        <v>2.9473703037336714E-3</v>
      </c>
      <c r="AV36" s="124">
        <v>5.6351082723827547E-5</v>
      </c>
      <c r="AW36" s="124">
        <v>-1.6902843695951737E-5</v>
      </c>
      <c r="AX36" s="124">
        <v>1.486896530745292E-2</v>
      </c>
      <c r="AY36" s="124">
        <v>-3.6504351077770905E-2</v>
      </c>
      <c r="AZ36" s="124">
        <v>6.9082702030674459E-2</v>
      </c>
      <c r="BA36" s="124">
        <v>3.8135900201723728E-3</v>
      </c>
      <c r="BB36" s="124">
        <v>3.9018786059318002E-2</v>
      </c>
      <c r="BC36" s="124">
        <v>-7.1501879804473671E-3</v>
      </c>
      <c r="BD36" s="124">
        <v>6.8194696276310696E-2</v>
      </c>
      <c r="BE36" s="124">
        <v>6.1505276434015337E-3</v>
      </c>
      <c r="BF36" s="124">
        <v>6.5534586047224938E-2</v>
      </c>
      <c r="BG36" s="124">
        <v>2.0963896242372666E-2</v>
      </c>
      <c r="BH36" s="125">
        <v>9.44703902297582E-3</v>
      </c>
    </row>
    <row r="37" spans="1:60" x14ac:dyDescent="0.25">
      <c r="A37" s="126" t="s">
        <v>268</v>
      </c>
      <c r="B37" s="143">
        <v>9</v>
      </c>
      <c r="C37" s="124">
        <v>2.6417977380581632E-4</v>
      </c>
      <c r="D37" s="124">
        <v>0</v>
      </c>
      <c r="E37" s="124">
        <v>-2.5617259560772022E-2</v>
      </c>
      <c r="F37" s="124">
        <v>-5.2921697028909748E-3</v>
      </c>
      <c r="G37" s="124">
        <v>-0.11771516779918886</v>
      </c>
      <c r="H37" s="124">
        <v>-1.9132098708226297E-2</v>
      </c>
      <c r="I37" s="124">
        <v>1.2264010700857747E-2</v>
      </c>
      <c r="J37" s="124">
        <v>-3.0066217255029566E-2</v>
      </c>
      <c r="K37" s="124">
        <v>-5.0652223249596597E-2</v>
      </c>
      <c r="L37" s="124">
        <v>-1.1853687600748529E-2</v>
      </c>
      <c r="M37" s="124">
        <v>-1.8235648495272181E-2</v>
      </c>
      <c r="N37" s="124">
        <v>-1.5079285215912667E-3</v>
      </c>
      <c r="O37" s="124">
        <v>-5.8584850958924538E-2</v>
      </c>
      <c r="P37" s="124">
        <v>-1.0774338069297245E-2</v>
      </c>
      <c r="Q37" s="124">
        <v>1.997373231272866E-2</v>
      </c>
      <c r="R37" s="124">
        <v>-6.8816599576459212E-4</v>
      </c>
      <c r="S37" s="124">
        <v>4.9822363614550766E-2</v>
      </c>
      <c r="T37" s="124">
        <v>3.0532013322914589E-3</v>
      </c>
      <c r="U37" s="124">
        <v>-7.8757594036308221E-2</v>
      </c>
      <c r="V37" s="124">
        <v>-2.5798514448876655E-3</v>
      </c>
      <c r="W37" s="124">
        <v>-3.4345497801900021E-2</v>
      </c>
      <c r="X37" s="124">
        <v>5.8918520064357091E-3</v>
      </c>
      <c r="Y37" s="124">
        <v>3.2539258771098131E-2</v>
      </c>
      <c r="Z37" s="124">
        <v>-9.6306995424285217E-3</v>
      </c>
      <c r="AA37" s="124">
        <v>-0.14791209092602314</v>
      </c>
      <c r="AB37" s="124">
        <v>8.1755155821683061E-3</v>
      </c>
      <c r="AC37" s="124">
        <v>-1.9719204651712233E-2</v>
      </c>
      <c r="AD37" s="124">
        <v>-3.3451244283001134E-3</v>
      </c>
      <c r="AE37" s="124">
        <v>1.0521681895000232E-2</v>
      </c>
      <c r="AF37" s="124">
        <v>-2.5346922470390054E-3</v>
      </c>
      <c r="AG37" s="124">
        <v>-8.542783109238386E-2</v>
      </c>
      <c r="AH37" s="124">
        <v>2.6465493876788684E-3</v>
      </c>
      <c r="AI37" s="124">
        <v>-1.5791401384625776E-2</v>
      </c>
      <c r="AJ37" s="124">
        <v>-0.69125140783542449</v>
      </c>
      <c r="AK37" s="124">
        <v>-4.9440476886774797E-3</v>
      </c>
      <c r="AL37" s="124">
        <v>-4.8462820122659733E-2</v>
      </c>
      <c r="AM37" s="124">
        <v>-1.1007500820678034E-2</v>
      </c>
      <c r="AN37" s="124">
        <v>-3.6291130855874363E-5</v>
      </c>
      <c r="AO37" s="124">
        <v>-1.2231274441231222E-2</v>
      </c>
      <c r="AP37" s="124">
        <v>-4.1325697522832848E-2</v>
      </c>
      <c r="AQ37" s="124">
        <v>-1.6588707545633252E-2</v>
      </c>
      <c r="AR37" s="124">
        <v>-6.891964871687784E-3</v>
      </c>
      <c r="AS37" s="124">
        <v>1.434536775732787E-3</v>
      </c>
      <c r="AT37" s="124">
        <v>-0.74926510466012686</v>
      </c>
      <c r="AU37" s="124">
        <v>1.4967055628307316E-2</v>
      </c>
      <c r="AV37" s="124">
        <v>0</v>
      </c>
      <c r="AW37" s="124">
        <v>0</v>
      </c>
      <c r="AX37" s="124">
        <v>-8.3247848563334035E-3</v>
      </c>
      <c r="AY37" s="124">
        <v>-0.60950140101680605</v>
      </c>
      <c r="AZ37" s="124">
        <v>-1.432720244984984E-2</v>
      </c>
      <c r="BA37" s="124">
        <v>-4.2023650702675296E-2</v>
      </c>
      <c r="BB37" s="124">
        <v>-3.7147162239391327E-3</v>
      </c>
      <c r="BC37" s="124">
        <v>-0.33820450243036299</v>
      </c>
      <c r="BD37" s="124">
        <v>-9.7899308176028731E-3</v>
      </c>
      <c r="BE37" s="124">
        <v>2.2555840635545207E-2</v>
      </c>
      <c r="BF37" s="124">
        <v>-1.9177604819730354E-2</v>
      </c>
      <c r="BG37" s="124">
        <v>-3.9463011298395551E-3</v>
      </c>
      <c r="BH37" s="125">
        <v>-0.2712331455459942</v>
      </c>
    </row>
    <row r="38" spans="1:60" x14ac:dyDescent="0.25">
      <c r="A38" s="126" t="s">
        <v>269</v>
      </c>
      <c r="B38" s="143">
        <v>10</v>
      </c>
      <c r="C38" s="124">
        <v>5.1168233522314304E-4</v>
      </c>
      <c r="D38" s="124">
        <v>3.119461573145841E-2</v>
      </c>
      <c r="E38" s="124">
        <v>-2.4492126048704918E-2</v>
      </c>
      <c r="F38" s="124">
        <v>9.425402144368317E-3</v>
      </c>
      <c r="G38" s="124">
        <v>-7.1242411062496347E-2</v>
      </c>
      <c r="H38" s="124">
        <v>-1.3636591985851654E-2</v>
      </c>
      <c r="I38" s="124">
        <v>1.0252497130367261E-2</v>
      </c>
      <c r="J38" s="124">
        <v>-3.0066217255029566E-2</v>
      </c>
      <c r="K38" s="124">
        <v>-3.6058088498550002E-2</v>
      </c>
      <c r="L38" s="124">
        <v>-2.7826146557171699E-3</v>
      </c>
      <c r="M38" s="124">
        <v>-1.7242432960651959E-2</v>
      </c>
      <c r="N38" s="124">
        <v>-1.419425263325785E-3</v>
      </c>
      <c r="O38" s="124">
        <v>-3.8387176832290017E-2</v>
      </c>
      <c r="P38" s="124">
        <v>-2.079641048763969E-2</v>
      </c>
      <c r="Q38" s="124">
        <v>1.4109830297536251E-2</v>
      </c>
      <c r="R38" s="124">
        <v>4.0795545075765702E-3</v>
      </c>
      <c r="S38" s="124">
        <v>6.609711523512872E-2</v>
      </c>
      <c r="T38" s="124">
        <v>1.2316396313199014E-2</v>
      </c>
      <c r="U38" s="124">
        <v>-4.0426999142638032E-2</v>
      </c>
      <c r="V38" s="124">
        <v>2.0191122089667685E-2</v>
      </c>
      <c r="W38" s="124">
        <v>-2.6251984465461047E-2</v>
      </c>
      <c r="X38" s="124">
        <v>3.8241732837188923E-2</v>
      </c>
      <c r="Y38" s="124">
        <v>2.3219435524247822E-2</v>
      </c>
      <c r="Z38" s="124">
        <v>-3.3812751145772786E-3</v>
      </c>
      <c r="AA38" s="124">
        <v>-9.8427169288766506E-2</v>
      </c>
      <c r="AB38" s="124">
        <v>4.5288849942944048E-2</v>
      </c>
      <c r="AC38" s="124">
        <v>1.3281818037770395E-2</v>
      </c>
      <c r="AD38" s="124">
        <v>-2.4005347286605856E-3</v>
      </c>
      <c r="AE38" s="124">
        <v>1.1049184475258848E-2</v>
      </c>
      <c r="AF38" s="124">
        <v>-1.4111031301458166E-3</v>
      </c>
      <c r="AG38" s="124">
        <v>-6.4407901712143875E-2</v>
      </c>
      <c r="AH38" s="124">
        <v>5.4722509289334229E-3</v>
      </c>
      <c r="AI38" s="124">
        <v>-5.4349475726370947E-3</v>
      </c>
      <c r="AJ38" s="124">
        <v>-0.54314916089407139</v>
      </c>
      <c r="AK38" s="124">
        <v>9.9814165607411964E-4</v>
      </c>
      <c r="AL38" s="124">
        <v>-2.7257108849281605E-2</v>
      </c>
      <c r="AM38" s="124">
        <v>6.7642969457434778E-3</v>
      </c>
      <c r="AN38" s="124">
        <v>1.2459261097664652E-2</v>
      </c>
      <c r="AO38" s="124">
        <v>-9.3888966967213428E-3</v>
      </c>
      <c r="AP38" s="124">
        <v>-1.8210259455710257E-2</v>
      </c>
      <c r="AQ38" s="124">
        <v>-8.7791428710674684E-3</v>
      </c>
      <c r="AR38" s="124">
        <v>7.439363782502424E-3</v>
      </c>
      <c r="AS38" s="124">
        <v>6.1366833725685745E-3</v>
      </c>
      <c r="AT38" s="124">
        <v>-0.28379668457675644</v>
      </c>
      <c r="AU38" s="124">
        <v>1.839324035711903E-2</v>
      </c>
      <c r="AV38" s="124">
        <v>0</v>
      </c>
      <c r="AW38" s="124">
        <v>0</v>
      </c>
      <c r="AX38" s="124">
        <v>-7.7701479666244548E-3</v>
      </c>
      <c r="AY38" s="124">
        <v>-0.32630952306766642</v>
      </c>
      <c r="AZ38" s="124">
        <v>-8.9947096588364334E-3</v>
      </c>
      <c r="BA38" s="124">
        <v>-3.073320402832512E-2</v>
      </c>
      <c r="BB38" s="124">
        <v>-4.8669126374633965E-3</v>
      </c>
      <c r="BC38" s="124">
        <v>-0.26996528428855981</v>
      </c>
      <c r="BD38" s="124">
        <v>-8.6989327507687496E-4</v>
      </c>
      <c r="BE38" s="124">
        <v>1.580390531031272E-2</v>
      </c>
      <c r="BF38" s="124">
        <v>-5.8945571036011805E-3</v>
      </c>
      <c r="BG38" s="124">
        <v>-3.5761005090539427E-3</v>
      </c>
      <c r="BH38" s="125">
        <v>-0.16955001514402535</v>
      </c>
    </row>
    <row r="39" spans="1:60" x14ac:dyDescent="0.25">
      <c r="A39" s="126" t="s">
        <v>270</v>
      </c>
      <c r="B39" s="143">
        <v>11</v>
      </c>
      <c r="C39" s="124">
        <v>1.052317893982186</v>
      </c>
      <c r="D39" s="124">
        <v>1.0517171009167707</v>
      </c>
      <c r="E39" s="124">
        <v>1.0511251891197886</v>
      </c>
      <c r="F39" s="124">
        <v>1.0519102031147398</v>
      </c>
      <c r="G39" s="124">
        <v>1.0503787242225111</v>
      </c>
      <c r="H39" s="124">
        <v>1.0501426166815753</v>
      </c>
      <c r="I39" s="124">
        <v>1.0475144596231964</v>
      </c>
      <c r="J39" s="124">
        <v>1.0464556566378194</v>
      </c>
      <c r="K39" s="124">
        <v>1.0464746248015375</v>
      </c>
      <c r="L39" s="124">
        <v>1.0459781332611722</v>
      </c>
      <c r="M39" s="124">
        <v>1.0211193401323091</v>
      </c>
      <c r="N39" s="124">
        <v>1.0135229072413983</v>
      </c>
      <c r="O39" s="124">
        <v>1.0154531104382778</v>
      </c>
      <c r="P39" s="124">
        <v>1.0162764145883378</v>
      </c>
      <c r="Q39" s="124">
        <v>1.0162580901434455</v>
      </c>
      <c r="R39" s="124">
        <v>0.97617592410468823</v>
      </c>
      <c r="S39" s="124">
        <v>0.96187375781443807</v>
      </c>
      <c r="T39" s="124">
        <v>0.96174739079228644</v>
      </c>
      <c r="U39" s="124">
        <v>0.97639759319703134</v>
      </c>
      <c r="V39" s="124">
        <v>0.97394273175540946</v>
      </c>
      <c r="W39" s="124">
        <v>0.96712709612022019</v>
      </c>
      <c r="X39" s="124">
        <v>0.96840917118550018</v>
      </c>
      <c r="Y39" s="124">
        <v>0.97055782627982157</v>
      </c>
      <c r="Z39" s="124">
        <v>0.96573702992070776</v>
      </c>
      <c r="AA39" s="124">
        <v>0.95114583578145206</v>
      </c>
      <c r="AB39" s="124">
        <v>0.96034908045005052</v>
      </c>
      <c r="AC39" s="124">
        <v>0.96087625541807276</v>
      </c>
      <c r="AD39" s="124">
        <v>0.96002694904912822</v>
      </c>
      <c r="AE39" s="124">
        <v>0.95897516544318018</v>
      </c>
      <c r="AF39" s="124">
        <v>0.95895804220083547</v>
      </c>
      <c r="AG39" s="124">
        <v>0.95879429184628473</v>
      </c>
      <c r="AH39" s="124">
        <v>0.94538979296316905</v>
      </c>
      <c r="AI39" s="124">
        <v>0.97720869994902348</v>
      </c>
      <c r="AJ39" s="124">
        <v>0.96509986172241791</v>
      </c>
      <c r="AK39" s="124">
        <v>0.96054227081646482</v>
      </c>
      <c r="AL39" s="124">
        <v>0.95830488820939852</v>
      </c>
      <c r="AM39" s="124">
        <v>0.94930744776336395</v>
      </c>
      <c r="AN39" s="124">
        <v>0.94547754643002024</v>
      </c>
      <c r="AO39" s="124">
        <v>0.94547754643002024</v>
      </c>
      <c r="AP39" s="124">
        <v>0.93220686844454748</v>
      </c>
      <c r="AQ39" s="124">
        <v>0.91567621600208449</v>
      </c>
      <c r="AR39" s="124">
        <v>0.9166675826607833</v>
      </c>
      <c r="AS39" s="124">
        <v>0.91537606792251935</v>
      </c>
      <c r="AT39" s="124">
        <v>0.90043770003752044</v>
      </c>
      <c r="AU39" s="124">
        <v>0.90214591656505583</v>
      </c>
      <c r="AV39" s="124">
        <v>0.94067992478195406</v>
      </c>
      <c r="AW39" s="124">
        <v>0.94081980591560366</v>
      </c>
      <c r="AX39" s="124">
        <v>1.2083947399038764</v>
      </c>
      <c r="AY39" s="124">
        <v>1.1973859982844703</v>
      </c>
      <c r="AZ39" s="124">
        <v>1.2911496506117148</v>
      </c>
      <c r="BA39" s="124">
        <v>1.297845188961648</v>
      </c>
      <c r="BB39" s="124">
        <v>1.2962188963575763</v>
      </c>
      <c r="BC39" s="124">
        <v>1.2956942386887567</v>
      </c>
      <c r="BD39" s="124">
        <v>1.2967717208164722</v>
      </c>
      <c r="BE39" s="124">
        <v>1.1833698845802361</v>
      </c>
      <c r="BF39" s="124">
        <v>1.1995795666407987</v>
      </c>
      <c r="BG39" s="124">
        <v>1.3420963140345874</v>
      </c>
      <c r="BH39" s="125">
        <v>1.3144181255575467</v>
      </c>
    </row>
    <row r="40" spans="1:60" x14ac:dyDescent="0.25">
      <c r="A40" s="127" t="s">
        <v>271</v>
      </c>
      <c r="B40" s="146">
        <v>12</v>
      </c>
      <c r="C40" s="128">
        <v>0</v>
      </c>
      <c r="D40" s="128">
        <v>0</v>
      </c>
      <c r="E40" s="128">
        <v>0</v>
      </c>
      <c r="F40" s="128">
        <v>0</v>
      </c>
      <c r="G40" s="128">
        <v>3.9370131313626718E-2</v>
      </c>
      <c r="H40" s="128">
        <v>0</v>
      </c>
      <c r="I40" s="128">
        <v>0</v>
      </c>
      <c r="J40" s="128">
        <v>0</v>
      </c>
      <c r="K40" s="128">
        <v>0</v>
      </c>
      <c r="L40" s="128">
        <v>0</v>
      </c>
      <c r="M40" s="128">
        <v>0</v>
      </c>
      <c r="N40" s="128">
        <v>3.9370131313626718E-2</v>
      </c>
      <c r="O40" s="128">
        <v>0</v>
      </c>
      <c r="P40" s="128">
        <v>0</v>
      </c>
      <c r="Q40" s="128">
        <v>0</v>
      </c>
      <c r="R40" s="128">
        <v>0</v>
      </c>
      <c r="S40" s="128">
        <v>0</v>
      </c>
      <c r="T40" s="128">
        <v>0</v>
      </c>
      <c r="U40" s="128">
        <v>0</v>
      </c>
      <c r="V40" s="128">
        <v>0</v>
      </c>
      <c r="W40" s="128">
        <v>0</v>
      </c>
      <c r="X40" s="128">
        <v>0</v>
      </c>
      <c r="Y40" s="128">
        <v>0</v>
      </c>
      <c r="Z40" s="128">
        <v>0</v>
      </c>
      <c r="AA40" s="128">
        <v>0</v>
      </c>
      <c r="AB40" s="128">
        <v>0</v>
      </c>
      <c r="AC40" s="128">
        <v>0</v>
      </c>
      <c r="AD40" s="128">
        <v>3.9370131313626718E-2</v>
      </c>
      <c r="AE40" s="128">
        <v>0</v>
      </c>
      <c r="AF40" s="128">
        <v>0</v>
      </c>
      <c r="AG40" s="128">
        <v>0</v>
      </c>
      <c r="AH40" s="128">
        <v>0</v>
      </c>
      <c r="AI40" s="128">
        <v>0</v>
      </c>
      <c r="AJ40" s="128">
        <v>0</v>
      </c>
      <c r="AK40" s="128">
        <v>0</v>
      </c>
      <c r="AL40" s="128">
        <v>0</v>
      </c>
      <c r="AM40" s="128">
        <v>0</v>
      </c>
      <c r="AN40" s="128">
        <v>0</v>
      </c>
      <c r="AO40" s="128">
        <v>0</v>
      </c>
      <c r="AP40" s="128">
        <v>3.9370131313626718E-2</v>
      </c>
      <c r="AQ40" s="128">
        <v>0</v>
      </c>
      <c r="AR40" s="128">
        <v>0</v>
      </c>
      <c r="AS40" s="128">
        <v>0</v>
      </c>
      <c r="AT40" s="128">
        <v>0</v>
      </c>
      <c r="AU40" s="128">
        <v>0</v>
      </c>
      <c r="AV40" s="128">
        <v>0</v>
      </c>
      <c r="AW40" s="128">
        <v>0</v>
      </c>
      <c r="AX40" s="128">
        <v>0</v>
      </c>
      <c r="AY40" s="128">
        <v>0</v>
      </c>
      <c r="AZ40" s="128">
        <v>0</v>
      </c>
      <c r="BA40" s="128">
        <v>0</v>
      </c>
      <c r="BB40" s="128">
        <v>3.9370131313626718E-2</v>
      </c>
      <c r="BC40" s="128">
        <v>3.9370131313626718E-2</v>
      </c>
      <c r="BD40" s="128">
        <v>0</v>
      </c>
      <c r="BE40" s="128">
        <v>3.9370131313626718E-2</v>
      </c>
      <c r="BF40" s="128">
        <v>0</v>
      </c>
      <c r="BG40" s="128">
        <v>3.9370131313626718E-2</v>
      </c>
      <c r="BH40" s="129">
        <v>0</v>
      </c>
    </row>
    <row r="42" spans="1:60" s="122" customFormat="1" ht="62.25" thickBot="1" x14ac:dyDescent="0.3">
      <c r="A42" s="121" t="s">
        <v>274</v>
      </c>
      <c r="B42" s="144"/>
      <c r="C42" s="131" t="s">
        <v>275</v>
      </c>
    </row>
    <row r="43" spans="1:60" ht="15.75" thickTop="1" x14ac:dyDescent="0.25">
      <c r="A43" s="132" t="s">
        <v>13</v>
      </c>
      <c r="B43" s="147"/>
      <c r="C43" s="133">
        <v>1.02</v>
      </c>
    </row>
    <row r="44" spans="1:60" x14ac:dyDescent="0.25">
      <c r="A44" s="134" t="s">
        <v>265</v>
      </c>
      <c r="B44" s="148"/>
      <c r="C44" s="135">
        <v>0.69</v>
      </c>
    </row>
  </sheetData>
  <sheetProtection algorithmName="SHA-512" hashValue="bPUK5FSqj8wiRhgXYFFCDp9DX1l5Z0XLAQCMBT5UD9R3nFDP4AqNepFw1ANrf91Ou+TwfHrXM4B6knvDy4i8aQ==" saltValue="VoaH6fIDSilwgGoNqd177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2018 HSP Incentive Budget</vt:lpstr>
      <vt:lpstr>Cobenefit Tables</vt:lpstr>
      <vt:lpstr>Ac</vt:lpstr>
      <vt:lpstr>'2018 HSP Incentive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Guihua@CDFA</dc:creator>
  <cp:lastModifiedBy>Whitaker, Andrew@CDFA</cp:lastModifiedBy>
  <cp:lastPrinted>2018-07-12T00:05:24Z</cp:lastPrinted>
  <dcterms:created xsi:type="dcterms:W3CDTF">2018-02-26T23:07:04Z</dcterms:created>
  <dcterms:modified xsi:type="dcterms:W3CDTF">2018-12-26T18:23:21Z</dcterms:modified>
</cp:coreProperties>
</file>