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535" windowWidth="22980" windowHeight="10875" activeTab="3"/>
    <workbookView xWindow="120" yWindow="60" windowWidth="23955" windowHeight="11820"/>
  </bookViews>
  <sheets>
    <sheet name="Pool Lbs &amp; Component Lbs" sheetId="1" r:id="rId1"/>
    <sheet name="Component Revenue" sheetId="2" r:id="rId2"/>
    <sheet name="Fortification &amp; TA" sheetId="3" r:id="rId3"/>
    <sheet name="Pool Percentages" sheetId="4" r:id="rId4"/>
  </sheets>
  <calcPr calcId="125725"/>
</workbook>
</file>

<file path=xl/calcChain.xml><?xml version="1.0" encoding="utf-8"?>
<calcChain xmlns="http://schemas.openxmlformats.org/spreadsheetml/2006/main">
  <c r="L184" i="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5" i="1"/>
  <c r="N5" s="1"/>
  <c r="S5"/>
  <c r="U5" s="1"/>
  <c r="L6"/>
  <c r="N6" s="1"/>
  <c r="S6"/>
  <c r="U6" s="1"/>
  <c r="L7"/>
  <c r="N7" s="1"/>
  <c r="S7"/>
  <c r="U7" s="1"/>
  <c r="L8"/>
  <c r="N8" s="1"/>
  <c r="S8"/>
  <c r="U8" s="1"/>
  <c r="L9"/>
  <c r="N9" s="1"/>
  <c r="S9"/>
  <c r="U9"/>
  <c r="L10"/>
  <c r="N10" s="1"/>
  <c r="S10"/>
  <c r="U10" s="1"/>
  <c r="L11"/>
  <c r="N11" s="1"/>
  <c r="S11"/>
  <c r="U11" s="1"/>
  <c r="L12"/>
  <c r="N12" s="1"/>
  <c r="S12"/>
  <c r="U12" s="1"/>
  <c r="L13"/>
  <c r="N13" s="1"/>
  <c r="S13"/>
  <c r="U13" s="1"/>
  <c r="L14"/>
  <c r="N14" s="1"/>
  <c r="R14"/>
  <c r="R17" s="1"/>
  <c r="S14"/>
  <c r="L15"/>
  <c r="N15" s="1"/>
  <c r="S15"/>
  <c r="U15" s="1"/>
  <c r="L16"/>
  <c r="N16" s="1"/>
  <c r="S16"/>
  <c r="U16" s="1"/>
  <c r="I17"/>
  <c r="J17"/>
  <c r="K17"/>
  <c r="M17"/>
  <c r="O17"/>
  <c r="P17"/>
  <c r="Q17"/>
  <c r="S17"/>
  <c r="T17"/>
  <c r="L18"/>
  <c r="N18" s="1"/>
  <c r="S18"/>
  <c r="U18" s="1"/>
  <c r="L19"/>
  <c r="N19" s="1"/>
  <c r="S19"/>
  <c r="U19" s="1"/>
  <c r="L20"/>
  <c r="N20" s="1"/>
  <c r="S20"/>
  <c r="U20" s="1"/>
  <c r="L21"/>
  <c r="N21" s="1"/>
  <c r="S21"/>
  <c r="U21" s="1"/>
  <c r="L22"/>
  <c r="N22" s="1"/>
  <c r="S22"/>
  <c r="U22" s="1"/>
  <c r="L23"/>
  <c r="N23" s="1"/>
  <c r="S23"/>
  <c r="U23" s="1"/>
  <c r="L24"/>
  <c r="N24" s="1"/>
  <c r="S24"/>
  <c r="U24" s="1"/>
  <c r="L25"/>
  <c r="N25" s="1"/>
  <c r="S25"/>
  <c r="U25" s="1"/>
  <c r="L26"/>
  <c r="N26" s="1"/>
  <c r="S26"/>
  <c r="U26" s="1"/>
  <c r="L27"/>
  <c r="N27" s="1"/>
  <c r="S27"/>
  <c r="U27" s="1"/>
  <c r="L28"/>
  <c r="N28" s="1"/>
  <c r="S28"/>
  <c r="U28" s="1"/>
  <c r="L29"/>
  <c r="N29" s="1"/>
  <c r="S29"/>
  <c r="U29" s="1"/>
  <c r="I30"/>
  <c r="J30"/>
  <c r="K30"/>
  <c r="M30"/>
  <c r="O30"/>
  <c r="P30"/>
  <c r="Q30"/>
  <c r="R30"/>
  <c r="T30"/>
  <c r="L31"/>
  <c r="N31"/>
  <c r="S31"/>
  <c r="L32"/>
  <c r="N32" s="1"/>
  <c r="S32"/>
  <c r="U32" s="1"/>
  <c r="L33"/>
  <c r="U33"/>
  <c r="L34"/>
  <c r="N34" s="1"/>
  <c r="S34"/>
  <c r="U34" s="1"/>
  <c r="N35"/>
  <c r="S35"/>
  <c r="U35" s="1"/>
  <c r="L36"/>
  <c r="N36" s="1"/>
  <c r="S36"/>
  <c r="U36" s="1"/>
  <c r="L37"/>
  <c r="N37" s="1"/>
  <c r="S37"/>
  <c r="U37" s="1"/>
  <c r="L38"/>
  <c r="N38" s="1"/>
  <c r="S38"/>
  <c r="U38" s="1"/>
  <c r="L39"/>
  <c r="N39" s="1"/>
  <c r="S39"/>
  <c r="U39" s="1"/>
  <c r="L40"/>
  <c r="N40" s="1"/>
  <c r="S40"/>
  <c r="U40" s="1"/>
  <c r="L41"/>
  <c r="N41" s="1"/>
  <c r="S41"/>
  <c r="U41" s="1"/>
  <c r="L42"/>
  <c r="N42" s="1"/>
  <c r="S42"/>
  <c r="U42" s="1"/>
  <c r="I43"/>
  <c r="J43"/>
  <c r="K43"/>
  <c r="M43"/>
  <c r="O43"/>
  <c r="P43"/>
  <c r="Q43"/>
  <c r="R43"/>
  <c r="T43"/>
  <c r="L44"/>
  <c r="S44"/>
  <c r="U44" s="1"/>
  <c r="L45"/>
  <c r="N45" s="1"/>
  <c r="S45"/>
  <c r="U45" s="1"/>
  <c r="L46"/>
  <c r="N46" s="1"/>
  <c r="S46"/>
  <c r="U46" s="1"/>
  <c r="L47"/>
  <c r="N47" s="1"/>
  <c r="S47"/>
  <c r="U47" s="1"/>
  <c r="L48"/>
  <c r="N48" s="1"/>
  <c r="S48"/>
  <c r="U48" s="1"/>
  <c r="L49"/>
  <c r="N49" s="1"/>
  <c r="S49"/>
  <c r="U49" s="1"/>
  <c r="L50"/>
  <c r="N50" s="1"/>
  <c r="S50"/>
  <c r="U50" s="1"/>
  <c r="L51"/>
  <c r="N51" s="1"/>
  <c r="S51"/>
  <c r="U51" s="1"/>
  <c r="L52"/>
  <c r="N52" s="1"/>
  <c r="S52"/>
  <c r="U52" s="1"/>
  <c r="L53"/>
  <c r="N53"/>
  <c r="S53"/>
  <c r="U53" s="1"/>
  <c r="L54"/>
  <c r="N54" s="1"/>
  <c r="S54"/>
  <c r="U54" s="1"/>
  <c r="L55"/>
  <c r="N55" s="1"/>
  <c r="S55"/>
  <c r="U55" s="1"/>
  <c r="I56"/>
  <c r="J56"/>
  <c r="K56"/>
  <c r="M56"/>
  <c r="O56"/>
  <c r="P56"/>
  <c r="Q56"/>
  <c r="R56"/>
  <c r="T56"/>
  <c r="L57"/>
  <c r="S57"/>
  <c r="U57" s="1"/>
  <c r="L58"/>
  <c r="N58" s="1"/>
  <c r="S58"/>
  <c r="U58" s="1"/>
  <c r="L59"/>
  <c r="N59" s="1"/>
  <c r="S59"/>
  <c r="U59" s="1"/>
  <c r="L60"/>
  <c r="N60" s="1"/>
  <c r="S60"/>
  <c r="U60" s="1"/>
  <c r="L61"/>
  <c r="N61" s="1"/>
  <c r="S61"/>
  <c r="U61" s="1"/>
  <c r="L62"/>
  <c r="N62" s="1"/>
  <c r="S62"/>
  <c r="U62" s="1"/>
  <c r="L63"/>
  <c r="N63" s="1"/>
  <c r="S63"/>
  <c r="U63" s="1"/>
  <c r="L64"/>
  <c r="N64" s="1"/>
  <c r="S64"/>
  <c r="U64" s="1"/>
  <c r="L65"/>
  <c r="N65" s="1"/>
  <c r="S65"/>
  <c r="U65" s="1"/>
  <c r="L66"/>
  <c r="N66" s="1"/>
  <c r="S66"/>
  <c r="U66" s="1"/>
  <c r="L67"/>
  <c r="N67" s="1"/>
  <c r="S67"/>
  <c r="U67" s="1"/>
  <c r="L68"/>
  <c r="N68" s="1"/>
  <c r="S68"/>
  <c r="U68" s="1"/>
  <c r="I69"/>
  <c r="J69"/>
  <c r="K69"/>
  <c r="M69"/>
  <c r="O69"/>
  <c r="P69"/>
  <c r="Q69"/>
  <c r="R69"/>
  <c r="T69"/>
  <c r="L70"/>
  <c r="S70"/>
  <c r="L71"/>
  <c r="N71" s="1"/>
  <c r="S71"/>
  <c r="U71"/>
  <c r="L72"/>
  <c r="N72" s="1"/>
  <c r="S72"/>
  <c r="U72" s="1"/>
  <c r="L73"/>
  <c r="N73" s="1"/>
  <c r="S73"/>
  <c r="U73" s="1"/>
  <c r="L74"/>
  <c r="N74" s="1"/>
  <c r="S74"/>
  <c r="U74" s="1"/>
  <c r="L75"/>
  <c r="N75" s="1"/>
  <c r="S75"/>
  <c r="U75" s="1"/>
  <c r="L76"/>
  <c r="N76" s="1"/>
  <c r="S76"/>
  <c r="U76" s="1"/>
  <c r="L77"/>
  <c r="N77" s="1"/>
  <c r="S77"/>
  <c r="U77" s="1"/>
  <c r="L78"/>
  <c r="N78" s="1"/>
  <c r="S78"/>
  <c r="U78" s="1"/>
  <c r="L79"/>
  <c r="N79" s="1"/>
  <c r="S79"/>
  <c r="U79" s="1"/>
  <c r="L80"/>
  <c r="N80" s="1"/>
  <c r="S80"/>
  <c r="U80" s="1"/>
  <c r="L81"/>
  <c r="N81" s="1"/>
  <c r="S81"/>
  <c r="U81" s="1"/>
  <c r="I82"/>
  <c r="J82"/>
  <c r="K82"/>
  <c r="M82"/>
  <c r="O82"/>
  <c r="P82"/>
  <c r="Q82"/>
  <c r="R82"/>
  <c r="T82"/>
  <c r="L83"/>
  <c r="N83" s="1"/>
  <c r="S83"/>
  <c r="U83" s="1"/>
  <c r="L84"/>
  <c r="N84" s="1"/>
  <c r="S84"/>
  <c r="U84" s="1"/>
  <c r="L85"/>
  <c r="N85" s="1"/>
  <c r="S85"/>
  <c r="L86"/>
  <c r="N86" s="1"/>
  <c r="S86"/>
  <c r="U86" s="1"/>
  <c r="L87"/>
  <c r="N87" s="1"/>
  <c r="S87"/>
  <c r="U87" s="1"/>
  <c r="L88"/>
  <c r="N88" s="1"/>
  <c r="S88"/>
  <c r="U88" s="1"/>
  <c r="L89"/>
  <c r="N89" s="1"/>
  <c r="S89"/>
  <c r="U89" s="1"/>
  <c r="L90"/>
  <c r="N90" s="1"/>
  <c r="S90"/>
  <c r="U90" s="1"/>
  <c r="L91"/>
  <c r="N91" s="1"/>
  <c r="S91"/>
  <c r="U91"/>
  <c r="L92"/>
  <c r="N92" s="1"/>
  <c r="S92"/>
  <c r="U92" s="1"/>
  <c r="L93"/>
  <c r="N93" s="1"/>
  <c r="S93"/>
  <c r="U93" s="1"/>
  <c r="L94"/>
  <c r="N94" s="1"/>
  <c r="S94"/>
  <c r="U94" s="1"/>
  <c r="I95"/>
  <c r="J95"/>
  <c r="K95"/>
  <c r="M95"/>
  <c r="O95"/>
  <c r="P95"/>
  <c r="Q95"/>
  <c r="R95"/>
  <c r="T95"/>
  <c r="L96"/>
  <c r="N96" s="1"/>
  <c r="S96"/>
  <c r="U96" s="1"/>
  <c r="L97"/>
  <c r="N97" s="1"/>
  <c r="S97"/>
  <c r="U97" s="1"/>
  <c r="L98"/>
  <c r="N98" s="1"/>
  <c r="S98"/>
  <c r="U98" s="1"/>
  <c r="L99"/>
  <c r="N99" s="1"/>
  <c r="S99"/>
  <c r="U99" s="1"/>
  <c r="L100"/>
  <c r="N100" s="1"/>
  <c r="S100"/>
  <c r="U100" s="1"/>
  <c r="L101"/>
  <c r="N101" s="1"/>
  <c r="S101"/>
  <c r="U101" s="1"/>
  <c r="L102"/>
  <c r="N102" s="1"/>
  <c r="S102"/>
  <c r="U102" s="1"/>
  <c r="L103"/>
  <c r="N103" s="1"/>
  <c r="S103"/>
  <c r="U103" s="1"/>
  <c r="L104"/>
  <c r="N104" s="1"/>
  <c r="S104"/>
  <c r="U104" s="1"/>
  <c r="L105"/>
  <c r="N105" s="1"/>
  <c r="S105"/>
  <c r="U105" s="1"/>
  <c r="L106"/>
  <c r="N106" s="1"/>
  <c r="S106"/>
  <c r="U106" s="1"/>
  <c r="L107"/>
  <c r="N107" s="1"/>
  <c r="S107"/>
  <c r="U107" s="1"/>
  <c r="I108"/>
  <c r="J108"/>
  <c r="K108"/>
  <c r="M108"/>
  <c r="O108"/>
  <c r="P108"/>
  <c r="Q108"/>
  <c r="R108"/>
  <c r="T108"/>
  <c r="L109"/>
  <c r="N109" s="1"/>
  <c r="S109"/>
  <c r="L110"/>
  <c r="N110" s="1"/>
  <c r="S110"/>
  <c r="U110" s="1"/>
  <c r="L111"/>
  <c r="N111" s="1"/>
  <c r="S111"/>
  <c r="U111" s="1"/>
  <c r="L112"/>
  <c r="N112" s="1"/>
  <c r="S112"/>
  <c r="U112" s="1"/>
  <c r="L113"/>
  <c r="N113" s="1"/>
  <c r="S113"/>
  <c r="U113" s="1"/>
  <c r="L114"/>
  <c r="N114" s="1"/>
  <c r="S114"/>
  <c r="U114" s="1"/>
  <c r="L115"/>
  <c r="N115" s="1"/>
  <c r="S115"/>
  <c r="U115" s="1"/>
  <c r="L116"/>
  <c r="N116"/>
  <c r="S116"/>
  <c r="U116" s="1"/>
  <c r="N117"/>
  <c r="O117"/>
  <c r="U117"/>
  <c r="N118"/>
  <c r="O118"/>
  <c r="U118"/>
  <c r="N119"/>
  <c r="U119"/>
  <c r="N120"/>
  <c r="U120"/>
  <c r="I121"/>
  <c r="J121"/>
  <c r="K121"/>
  <c r="M121"/>
  <c r="P121"/>
  <c r="Q121"/>
  <c r="R121"/>
  <c r="T121"/>
  <c r="N122"/>
  <c r="U122"/>
  <c r="N123"/>
  <c r="U123"/>
  <c r="N124"/>
  <c r="U124"/>
  <c r="N125"/>
  <c r="U125"/>
  <c r="N126"/>
  <c r="U126"/>
  <c r="N127"/>
  <c r="U127"/>
  <c r="N128"/>
  <c r="U128"/>
  <c r="N129"/>
  <c r="U129"/>
  <c r="N130"/>
  <c r="U130"/>
  <c r="N131"/>
  <c r="U131"/>
  <c r="N132"/>
  <c r="U132"/>
  <c r="N133"/>
  <c r="U133"/>
  <c r="I134"/>
  <c r="J134"/>
  <c r="K134"/>
  <c r="L134"/>
  <c r="M134"/>
  <c r="O134"/>
  <c r="P134"/>
  <c r="Q134"/>
  <c r="R134"/>
  <c r="S134"/>
  <c r="T134"/>
  <c r="N135"/>
  <c r="U135"/>
  <c r="N136"/>
  <c r="U136"/>
  <c r="N137"/>
  <c r="U137"/>
  <c r="N138"/>
  <c r="U138"/>
  <c r="N139"/>
  <c r="U139"/>
  <c r="N140"/>
  <c r="U140"/>
  <c r="N141"/>
  <c r="U141"/>
  <c r="N142"/>
  <c r="U142"/>
  <c r="N143"/>
  <c r="U143"/>
  <c r="N144"/>
  <c r="U144"/>
  <c r="N145"/>
  <c r="U145"/>
  <c r="N146"/>
  <c r="U146"/>
  <c r="I147"/>
  <c r="J147"/>
  <c r="K147"/>
  <c r="L147"/>
  <c r="M147"/>
  <c r="O147"/>
  <c r="P147"/>
  <c r="Q147"/>
  <c r="R147"/>
  <c r="S147"/>
  <c r="T147"/>
  <c r="N148"/>
  <c r="U148"/>
  <c r="N149"/>
  <c r="U149"/>
  <c r="N150"/>
  <c r="U150"/>
  <c r="N151"/>
  <c r="U151"/>
  <c r="N152"/>
  <c r="U152"/>
  <c r="N153"/>
  <c r="U153"/>
  <c r="N154"/>
  <c r="U154"/>
  <c r="N155"/>
  <c r="U155"/>
  <c r="N156"/>
  <c r="U156"/>
  <c r="N157"/>
  <c r="U157"/>
  <c r="N158"/>
  <c r="U158"/>
  <c r="N159"/>
  <c r="U159"/>
  <c r="I160"/>
  <c r="J160"/>
  <c r="K160"/>
  <c r="L160"/>
  <c r="M160"/>
  <c r="O160"/>
  <c r="P160"/>
  <c r="Q160"/>
  <c r="R160"/>
  <c r="S160"/>
  <c r="T160"/>
  <c r="N161"/>
  <c r="U161"/>
  <c r="N162"/>
  <c r="U162"/>
  <c r="N163"/>
  <c r="U163"/>
  <c r="N164"/>
  <c r="U164"/>
  <c r="N165"/>
  <c r="U165"/>
  <c r="N166"/>
  <c r="U166"/>
  <c r="N167"/>
  <c r="U167"/>
  <c r="N168"/>
  <c r="U168"/>
  <c r="N169"/>
  <c r="U169"/>
  <c r="N170"/>
  <c r="U170"/>
  <c r="N171"/>
  <c r="U171"/>
  <c r="N172"/>
  <c r="U172"/>
  <c r="I173"/>
  <c r="J173"/>
  <c r="K173"/>
  <c r="L173"/>
  <c r="M173"/>
  <c r="O173"/>
  <c r="P173"/>
  <c r="Q173"/>
  <c r="R173"/>
  <c r="S173"/>
  <c r="T173"/>
  <c r="N174"/>
  <c r="U174"/>
  <c r="N175"/>
  <c r="U175"/>
  <c r="N176"/>
  <c r="U176"/>
  <c r="N177"/>
  <c r="U177"/>
  <c r="N178"/>
  <c r="U178"/>
  <c r="N179"/>
  <c r="U179"/>
  <c r="N180"/>
  <c r="U180"/>
  <c r="N181"/>
  <c r="U181"/>
  <c r="N182"/>
  <c r="U182"/>
  <c r="N183"/>
  <c r="U183"/>
  <c r="N184"/>
  <c r="U184"/>
  <c r="N185"/>
  <c r="U185"/>
  <c r="I186"/>
  <c r="J186"/>
  <c r="K186"/>
  <c r="L186"/>
  <c r="M186"/>
  <c r="O186"/>
  <c r="P186"/>
  <c r="Q186"/>
  <c r="R186"/>
  <c r="S186"/>
  <c r="T186"/>
  <c r="N187"/>
  <c r="U187"/>
  <c r="N188"/>
  <c r="U188"/>
  <c r="N189"/>
  <c r="U189"/>
  <c r="N190"/>
  <c r="U190"/>
  <c r="N191"/>
  <c r="U191"/>
  <c r="N192"/>
  <c r="U192"/>
  <c r="N193"/>
  <c r="U193"/>
  <c r="N194"/>
  <c r="U194"/>
  <c r="N195"/>
  <c r="U195"/>
  <c r="N196"/>
  <c r="U196"/>
  <c r="N197"/>
  <c r="U197"/>
  <c r="N198"/>
  <c r="U198"/>
  <c r="I199"/>
  <c r="J199"/>
  <c r="K199"/>
  <c r="L199"/>
  <c r="M199"/>
  <c r="O199"/>
  <c r="P199"/>
  <c r="Q199"/>
  <c r="R199"/>
  <c r="S199"/>
  <c r="T199"/>
  <c r="H199" i="3"/>
  <c r="G199"/>
  <c r="F199"/>
  <c r="E199"/>
  <c r="D199"/>
  <c r="C199"/>
  <c r="I198"/>
  <c r="I197"/>
  <c r="I196"/>
  <c r="I195"/>
  <c r="I194"/>
  <c r="I193"/>
  <c r="I192"/>
  <c r="I191"/>
  <c r="I190"/>
  <c r="I189"/>
  <c r="I188"/>
  <c r="I187"/>
  <c r="I199" s="1"/>
  <c r="H186"/>
  <c r="G186"/>
  <c r="F186"/>
  <c r="E186"/>
  <c r="D186"/>
  <c r="C186"/>
  <c r="I185"/>
  <c r="I184"/>
  <c r="I183"/>
  <c r="I182"/>
  <c r="I181"/>
  <c r="I180"/>
  <c r="I179"/>
  <c r="I178"/>
  <c r="I177"/>
  <c r="I176"/>
  <c r="I175"/>
  <c r="I174"/>
  <c r="H173"/>
  <c r="G173"/>
  <c r="F173"/>
  <c r="E173"/>
  <c r="D173"/>
  <c r="C173"/>
  <c r="I172"/>
  <c r="I171"/>
  <c r="I170"/>
  <c r="I169"/>
  <c r="I168"/>
  <c r="I167"/>
  <c r="I166"/>
  <c r="I165"/>
  <c r="I164"/>
  <c r="I163"/>
  <c r="I162"/>
  <c r="I161"/>
  <c r="H160"/>
  <c r="G160"/>
  <c r="F160"/>
  <c r="E160"/>
  <c r="D160"/>
  <c r="C160"/>
  <c r="I159"/>
  <c r="I158"/>
  <c r="I157"/>
  <c r="I156"/>
  <c r="I155"/>
  <c r="I154"/>
  <c r="I153"/>
  <c r="I152"/>
  <c r="I151"/>
  <c r="I150"/>
  <c r="I160" s="1"/>
  <c r="I149"/>
  <c r="I148"/>
  <c r="H147"/>
  <c r="G147"/>
  <c r="F147"/>
  <c r="E147"/>
  <c r="D147"/>
  <c r="C147"/>
  <c r="I146"/>
  <c r="I145"/>
  <c r="I144"/>
  <c r="I143"/>
  <c r="I142"/>
  <c r="I141"/>
  <c r="I140"/>
  <c r="I139"/>
  <c r="I138"/>
  <c r="I137"/>
  <c r="I136"/>
  <c r="I135"/>
  <c r="I147" s="1"/>
  <c r="H134"/>
  <c r="G134"/>
  <c r="F134"/>
  <c r="E134"/>
  <c r="D134"/>
  <c r="C134"/>
  <c r="I133"/>
  <c r="I132"/>
  <c r="I131"/>
  <c r="I130"/>
  <c r="I129"/>
  <c r="I128"/>
  <c r="I127"/>
  <c r="I126"/>
  <c r="I125"/>
  <c r="I124"/>
  <c r="I123"/>
  <c r="I122"/>
  <c r="H121"/>
  <c r="G121"/>
  <c r="F121"/>
  <c r="E121"/>
  <c r="D121"/>
  <c r="C121"/>
  <c r="I120"/>
  <c r="I119"/>
  <c r="I118"/>
  <c r="I117"/>
  <c r="I116"/>
  <c r="I115"/>
  <c r="I114"/>
  <c r="I113"/>
  <c r="I112"/>
  <c r="I111"/>
  <c r="I110"/>
  <c r="I109"/>
  <c r="H108"/>
  <c r="G108"/>
  <c r="F108"/>
  <c r="E108"/>
  <c r="D108"/>
  <c r="C108"/>
  <c r="I107"/>
  <c r="I106"/>
  <c r="I105"/>
  <c r="I104"/>
  <c r="I103"/>
  <c r="I102"/>
  <c r="I101"/>
  <c r="I100"/>
  <c r="I99"/>
  <c r="I98"/>
  <c r="I108" s="1"/>
  <c r="I97"/>
  <c r="I96"/>
  <c r="H95"/>
  <c r="G95"/>
  <c r="F95"/>
  <c r="E95"/>
  <c r="D95"/>
  <c r="C95"/>
  <c r="I94"/>
  <c r="I93"/>
  <c r="I92"/>
  <c r="I91"/>
  <c r="I90"/>
  <c r="I89"/>
  <c r="I88"/>
  <c r="I87"/>
  <c r="I86"/>
  <c r="I85"/>
  <c r="I84"/>
  <c r="I83"/>
  <c r="I95" s="1"/>
  <c r="H82"/>
  <c r="G82"/>
  <c r="F82"/>
  <c r="E82"/>
  <c r="D82"/>
  <c r="C82"/>
  <c r="I81"/>
  <c r="I80"/>
  <c r="I79"/>
  <c r="I78"/>
  <c r="I77"/>
  <c r="I76"/>
  <c r="I75"/>
  <c r="I74"/>
  <c r="I73"/>
  <c r="I72"/>
  <c r="I71"/>
  <c r="I70"/>
  <c r="H69"/>
  <c r="G69"/>
  <c r="F69"/>
  <c r="E69"/>
  <c r="D69"/>
  <c r="C69"/>
  <c r="I68"/>
  <c r="I67"/>
  <c r="I66"/>
  <c r="I65"/>
  <c r="I64"/>
  <c r="I63"/>
  <c r="I62"/>
  <c r="I61"/>
  <c r="I60"/>
  <c r="I59"/>
  <c r="I58"/>
  <c r="I57"/>
  <c r="H56"/>
  <c r="G56"/>
  <c r="F56"/>
  <c r="E56"/>
  <c r="D56"/>
  <c r="C56"/>
  <c r="I55"/>
  <c r="I54"/>
  <c r="I53"/>
  <c r="I52"/>
  <c r="I51"/>
  <c r="I50"/>
  <c r="I49"/>
  <c r="I48"/>
  <c r="I47"/>
  <c r="I46"/>
  <c r="I56" s="1"/>
  <c r="I45"/>
  <c r="I44"/>
  <c r="H43"/>
  <c r="G43"/>
  <c r="F43"/>
  <c r="E43"/>
  <c r="D43"/>
  <c r="C43"/>
  <c r="I42"/>
  <c r="I41"/>
  <c r="I40"/>
  <c r="I39"/>
  <c r="I38"/>
  <c r="I37"/>
  <c r="I36"/>
  <c r="I35"/>
  <c r="I34"/>
  <c r="I33"/>
  <c r="I32"/>
  <c r="I31"/>
  <c r="I43" s="1"/>
  <c r="H30"/>
  <c r="G30"/>
  <c r="F30"/>
  <c r="E30"/>
  <c r="D30"/>
  <c r="C30"/>
  <c r="I29"/>
  <c r="I28"/>
  <c r="I27"/>
  <c r="I26"/>
  <c r="I25"/>
  <c r="I24"/>
  <c r="I23"/>
  <c r="I22"/>
  <c r="I21"/>
  <c r="I20"/>
  <c r="I19"/>
  <c r="I18"/>
  <c r="H17"/>
  <c r="G17"/>
  <c r="E17"/>
  <c r="D17"/>
  <c r="C17"/>
  <c r="I16"/>
  <c r="I15"/>
  <c r="I14"/>
  <c r="I13"/>
  <c r="I12"/>
  <c r="I11"/>
  <c r="I10"/>
  <c r="I9"/>
  <c r="I8"/>
  <c r="I7"/>
  <c r="I6"/>
  <c r="F6"/>
  <c r="F17" s="1"/>
  <c r="I5"/>
  <c r="F5"/>
  <c r="N199" i="2"/>
  <c r="M199"/>
  <c r="L199"/>
  <c r="K199"/>
  <c r="I199"/>
  <c r="G199"/>
  <c r="F199"/>
  <c r="E199"/>
  <c r="D199"/>
  <c r="C199"/>
  <c r="O198"/>
  <c r="H198"/>
  <c r="O197"/>
  <c r="H197"/>
  <c r="O196"/>
  <c r="H196"/>
  <c r="O195"/>
  <c r="H195"/>
  <c r="O194"/>
  <c r="H194"/>
  <c r="O193"/>
  <c r="H193"/>
  <c r="O192"/>
  <c r="H192"/>
  <c r="O191"/>
  <c r="H191"/>
  <c r="O190"/>
  <c r="H190"/>
  <c r="O189"/>
  <c r="H189"/>
  <c r="O188"/>
  <c r="H188"/>
  <c r="O187"/>
  <c r="H187"/>
  <c r="N186"/>
  <c r="M186"/>
  <c r="L186"/>
  <c r="K186"/>
  <c r="I186"/>
  <c r="G186"/>
  <c r="F186"/>
  <c r="E186"/>
  <c r="D186"/>
  <c r="C186"/>
  <c r="O185"/>
  <c r="H185"/>
  <c r="O184"/>
  <c r="H184"/>
  <c r="O183"/>
  <c r="H183"/>
  <c r="O182"/>
  <c r="H182"/>
  <c r="O181"/>
  <c r="H181"/>
  <c r="O180"/>
  <c r="H180"/>
  <c r="O179"/>
  <c r="H179"/>
  <c r="O178"/>
  <c r="H178"/>
  <c r="O177"/>
  <c r="H177"/>
  <c r="O176"/>
  <c r="H176"/>
  <c r="O175"/>
  <c r="H175"/>
  <c r="O174"/>
  <c r="H174"/>
  <c r="N173"/>
  <c r="M173"/>
  <c r="L173"/>
  <c r="K173"/>
  <c r="I173"/>
  <c r="G173"/>
  <c r="F173"/>
  <c r="E173"/>
  <c r="D173"/>
  <c r="C173"/>
  <c r="O172"/>
  <c r="H172"/>
  <c r="O171"/>
  <c r="H171"/>
  <c r="O170"/>
  <c r="H170"/>
  <c r="O169"/>
  <c r="H169"/>
  <c r="O168"/>
  <c r="H168"/>
  <c r="O167"/>
  <c r="H167"/>
  <c r="O166"/>
  <c r="H166"/>
  <c r="O165"/>
  <c r="H165"/>
  <c r="O164"/>
  <c r="H164"/>
  <c r="O163"/>
  <c r="H163"/>
  <c r="O162"/>
  <c r="H162"/>
  <c r="O161"/>
  <c r="H161"/>
  <c r="N160"/>
  <c r="M160"/>
  <c r="L160"/>
  <c r="K160"/>
  <c r="I160"/>
  <c r="G160"/>
  <c r="F160"/>
  <c r="E160"/>
  <c r="D160"/>
  <c r="C160"/>
  <c r="O159"/>
  <c r="H159"/>
  <c r="O158"/>
  <c r="H158"/>
  <c r="O157"/>
  <c r="H157"/>
  <c r="O156"/>
  <c r="H156"/>
  <c r="O155"/>
  <c r="H155"/>
  <c r="O154"/>
  <c r="H154"/>
  <c r="O153"/>
  <c r="H153"/>
  <c r="O152"/>
  <c r="H152"/>
  <c r="O151"/>
  <c r="H151"/>
  <c r="O150"/>
  <c r="H150"/>
  <c r="O149"/>
  <c r="H149"/>
  <c r="O148"/>
  <c r="H148"/>
  <c r="N147"/>
  <c r="M147"/>
  <c r="L147"/>
  <c r="K147"/>
  <c r="I147"/>
  <c r="G147"/>
  <c r="F147"/>
  <c r="E147"/>
  <c r="D147"/>
  <c r="C147"/>
  <c r="O146"/>
  <c r="H146"/>
  <c r="O145"/>
  <c r="H145"/>
  <c r="O144"/>
  <c r="H144"/>
  <c r="O143"/>
  <c r="H143"/>
  <c r="O142"/>
  <c r="H142"/>
  <c r="O141"/>
  <c r="H141"/>
  <c r="O140"/>
  <c r="H140"/>
  <c r="O139"/>
  <c r="H139"/>
  <c r="O138"/>
  <c r="H138"/>
  <c r="O137"/>
  <c r="H137"/>
  <c r="O136"/>
  <c r="H136"/>
  <c r="O135"/>
  <c r="H135"/>
  <c r="N134"/>
  <c r="M134"/>
  <c r="L134"/>
  <c r="K134"/>
  <c r="I134"/>
  <c r="G134"/>
  <c r="F134"/>
  <c r="E134"/>
  <c r="D134"/>
  <c r="C134"/>
  <c r="O133"/>
  <c r="H133"/>
  <c r="O132"/>
  <c r="H132"/>
  <c r="O131"/>
  <c r="H131"/>
  <c r="O130"/>
  <c r="H130"/>
  <c r="O129"/>
  <c r="H129"/>
  <c r="O128"/>
  <c r="H128"/>
  <c r="O127"/>
  <c r="H127"/>
  <c r="O126"/>
  <c r="H126"/>
  <c r="O125"/>
  <c r="H125"/>
  <c r="O124"/>
  <c r="H124"/>
  <c r="O123"/>
  <c r="H123"/>
  <c r="O122"/>
  <c r="H122"/>
  <c r="N121"/>
  <c r="L121"/>
  <c r="K121"/>
  <c r="I121"/>
  <c r="G121"/>
  <c r="E121"/>
  <c r="D121"/>
  <c r="C121"/>
  <c r="O120"/>
  <c r="H120"/>
  <c r="O119"/>
  <c r="H119"/>
  <c r="O118"/>
  <c r="H118"/>
  <c r="O117"/>
  <c r="H117"/>
  <c r="O116"/>
  <c r="M116"/>
  <c r="F116"/>
  <c r="H116" s="1"/>
  <c r="O115"/>
  <c r="M115"/>
  <c r="F115"/>
  <c r="H115" s="1"/>
  <c r="O114"/>
  <c r="M114"/>
  <c r="F114"/>
  <c r="H114" s="1"/>
  <c r="M113"/>
  <c r="O113" s="1"/>
  <c r="F113"/>
  <c r="H113" s="1"/>
  <c r="O112"/>
  <c r="M112"/>
  <c r="F112"/>
  <c r="H112" s="1"/>
  <c r="O111"/>
  <c r="M111"/>
  <c r="F111"/>
  <c r="H111" s="1"/>
  <c r="O110"/>
  <c r="M110"/>
  <c r="F110"/>
  <c r="H110" s="1"/>
  <c r="M109"/>
  <c r="M121" s="1"/>
  <c r="F109"/>
  <c r="H109" s="1"/>
  <c r="N108"/>
  <c r="L108"/>
  <c r="K108"/>
  <c r="I108"/>
  <c r="G108"/>
  <c r="E108"/>
  <c r="D108"/>
  <c r="C108"/>
  <c r="M107"/>
  <c r="O107" s="1"/>
  <c r="F107"/>
  <c r="H107" s="1"/>
  <c r="M106"/>
  <c r="O106" s="1"/>
  <c r="H106"/>
  <c r="F106"/>
  <c r="M105"/>
  <c r="O105" s="1"/>
  <c r="H105"/>
  <c r="F105"/>
  <c r="M104"/>
  <c r="O104" s="1"/>
  <c r="H104"/>
  <c r="F104"/>
  <c r="M103"/>
  <c r="O103" s="1"/>
  <c r="F103"/>
  <c r="H103" s="1"/>
  <c r="M102"/>
  <c r="O102" s="1"/>
  <c r="H102"/>
  <c r="F102"/>
  <c r="M101"/>
  <c r="O101" s="1"/>
  <c r="H101"/>
  <c r="F101"/>
  <c r="M100"/>
  <c r="O100" s="1"/>
  <c r="H100"/>
  <c r="F100"/>
  <c r="M99"/>
  <c r="O99" s="1"/>
  <c r="F99"/>
  <c r="H99" s="1"/>
  <c r="M98"/>
  <c r="O98" s="1"/>
  <c r="H98"/>
  <c r="F98"/>
  <c r="M97"/>
  <c r="O97" s="1"/>
  <c r="H97"/>
  <c r="F97"/>
  <c r="M96"/>
  <c r="H96"/>
  <c r="F96"/>
  <c r="N95"/>
  <c r="L95"/>
  <c r="K95"/>
  <c r="I95"/>
  <c r="G95"/>
  <c r="E95"/>
  <c r="D95"/>
  <c r="C95"/>
  <c r="M94"/>
  <c r="O94" s="1"/>
  <c r="H94"/>
  <c r="F94"/>
  <c r="M93"/>
  <c r="O93" s="1"/>
  <c r="F93"/>
  <c r="H93" s="1"/>
  <c r="M92"/>
  <c r="O92" s="1"/>
  <c r="H92"/>
  <c r="F92"/>
  <c r="M91"/>
  <c r="O91" s="1"/>
  <c r="H91"/>
  <c r="F91"/>
  <c r="M90"/>
  <c r="O90" s="1"/>
  <c r="H90"/>
  <c r="F90"/>
  <c r="M89"/>
  <c r="O89" s="1"/>
  <c r="F89"/>
  <c r="H89" s="1"/>
  <c r="M88"/>
  <c r="O88" s="1"/>
  <c r="H88"/>
  <c r="F88"/>
  <c r="M87"/>
  <c r="O87" s="1"/>
  <c r="H87"/>
  <c r="F87"/>
  <c r="M86"/>
  <c r="O86" s="1"/>
  <c r="H86"/>
  <c r="F86"/>
  <c r="M85"/>
  <c r="O85" s="1"/>
  <c r="F85"/>
  <c r="H85" s="1"/>
  <c r="M84"/>
  <c r="O84" s="1"/>
  <c r="H84"/>
  <c r="F84"/>
  <c r="M83"/>
  <c r="M95" s="1"/>
  <c r="H83"/>
  <c r="F83"/>
  <c r="F95" s="1"/>
  <c r="N82"/>
  <c r="L82"/>
  <c r="K82"/>
  <c r="I82"/>
  <c r="G82"/>
  <c r="E82"/>
  <c r="D82"/>
  <c r="C82"/>
  <c r="O81"/>
  <c r="M81"/>
  <c r="F81"/>
  <c r="H81" s="1"/>
  <c r="M80"/>
  <c r="O80" s="1"/>
  <c r="F80"/>
  <c r="H80" s="1"/>
  <c r="O79"/>
  <c r="M79"/>
  <c r="F79"/>
  <c r="H79" s="1"/>
  <c r="O78"/>
  <c r="M78"/>
  <c r="F78"/>
  <c r="H78" s="1"/>
  <c r="O77"/>
  <c r="M77"/>
  <c r="F77"/>
  <c r="H77" s="1"/>
  <c r="M76"/>
  <c r="O76" s="1"/>
  <c r="F76"/>
  <c r="H76" s="1"/>
  <c r="O75"/>
  <c r="M75"/>
  <c r="F75"/>
  <c r="H75" s="1"/>
  <c r="O74"/>
  <c r="M74"/>
  <c r="F74"/>
  <c r="H74" s="1"/>
  <c r="O73"/>
  <c r="M73"/>
  <c r="F73"/>
  <c r="H73" s="1"/>
  <c r="M72"/>
  <c r="O72" s="1"/>
  <c r="F72"/>
  <c r="H72" s="1"/>
  <c r="O71"/>
  <c r="M71"/>
  <c r="F71"/>
  <c r="H71" s="1"/>
  <c r="O70"/>
  <c r="M70"/>
  <c r="F70"/>
  <c r="H70" s="1"/>
  <c r="N69"/>
  <c r="L69"/>
  <c r="K69"/>
  <c r="I69"/>
  <c r="G69"/>
  <c r="E69"/>
  <c r="D69"/>
  <c r="C69"/>
  <c r="O68"/>
  <c r="M68"/>
  <c r="F68"/>
  <c r="H68" s="1"/>
  <c r="M67"/>
  <c r="O67" s="1"/>
  <c r="F67"/>
  <c r="H67" s="1"/>
  <c r="O66"/>
  <c r="M66"/>
  <c r="F66"/>
  <c r="H66" s="1"/>
  <c r="O65"/>
  <c r="M65"/>
  <c r="F65"/>
  <c r="H65" s="1"/>
  <c r="O64"/>
  <c r="M64"/>
  <c r="F64"/>
  <c r="H64" s="1"/>
  <c r="M63"/>
  <c r="O63" s="1"/>
  <c r="F63"/>
  <c r="H63" s="1"/>
  <c r="O62"/>
  <c r="M62"/>
  <c r="F62"/>
  <c r="H62" s="1"/>
  <c r="O61"/>
  <c r="M61"/>
  <c r="F61"/>
  <c r="H61" s="1"/>
  <c r="O60"/>
  <c r="M60"/>
  <c r="F60"/>
  <c r="H60" s="1"/>
  <c r="M59"/>
  <c r="O59" s="1"/>
  <c r="F59"/>
  <c r="H59" s="1"/>
  <c r="O58"/>
  <c r="M58"/>
  <c r="F58"/>
  <c r="H58" s="1"/>
  <c r="O57"/>
  <c r="M57"/>
  <c r="F57"/>
  <c r="N56"/>
  <c r="L56"/>
  <c r="K56"/>
  <c r="I56"/>
  <c r="G56"/>
  <c r="E56"/>
  <c r="D56"/>
  <c r="C56"/>
  <c r="M55"/>
  <c r="O55" s="1"/>
  <c r="H55"/>
  <c r="F55"/>
  <c r="M54"/>
  <c r="O54" s="1"/>
  <c r="H54"/>
  <c r="F54"/>
  <c r="M53"/>
  <c r="O53" s="1"/>
  <c r="F53"/>
  <c r="H53" s="1"/>
  <c r="M52"/>
  <c r="O52" s="1"/>
  <c r="H52"/>
  <c r="F52"/>
  <c r="M51"/>
  <c r="O51" s="1"/>
  <c r="H51"/>
  <c r="F51"/>
  <c r="M50"/>
  <c r="O50" s="1"/>
  <c r="H50"/>
  <c r="F50"/>
  <c r="M49"/>
  <c r="O49" s="1"/>
  <c r="F49"/>
  <c r="H49" s="1"/>
  <c r="M48"/>
  <c r="O48" s="1"/>
  <c r="H48"/>
  <c r="F48"/>
  <c r="M47"/>
  <c r="O47" s="1"/>
  <c r="H47"/>
  <c r="F47"/>
  <c r="M46"/>
  <c r="O46" s="1"/>
  <c r="H46"/>
  <c r="F46"/>
  <c r="M45"/>
  <c r="O45" s="1"/>
  <c r="F45"/>
  <c r="H45" s="1"/>
  <c r="M44"/>
  <c r="H44"/>
  <c r="F44"/>
  <c r="N43"/>
  <c r="L43"/>
  <c r="K43"/>
  <c r="I43"/>
  <c r="G43"/>
  <c r="E43"/>
  <c r="D43"/>
  <c r="C43"/>
  <c r="M42"/>
  <c r="O42" s="1"/>
  <c r="H42"/>
  <c r="F42"/>
  <c r="M41"/>
  <c r="O41" s="1"/>
  <c r="H41"/>
  <c r="F41"/>
  <c r="M40"/>
  <c r="O40" s="1"/>
  <c r="F40"/>
  <c r="H40" s="1"/>
  <c r="M39"/>
  <c r="O39" s="1"/>
  <c r="H39"/>
  <c r="F39"/>
  <c r="M38"/>
  <c r="O38" s="1"/>
  <c r="H38"/>
  <c r="F38"/>
  <c r="M37"/>
  <c r="O37" s="1"/>
  <c r="H37"/>
  <c r="F37"/>
  <c r="M36"/>
  <c r="O36" s="1"/>
  <c r="F36"/>
  <c r="H36" s="1"/>
  <c r="M35"/>
  <c r="H35"/>
  <c r="F35"/>
  <c r="O34"/>
  <c r="H34"/>
  <c r="O33"/>
  <c r="M33"/>
  <c r="F33"/>
  <c r="H33" s="1"/>
  <c r="O32"/>
  <c r="M32"/>
  <c r="F32"/>
  <c r="H32" s="1"/>
  <c r="O31"/>
  <c r="M31"/>
  <c r="F31"/>
  <c r="N30"/>
  <c r="L30"/>
  <c r="K30"/>
  <c r="I30"/>
  <c r="G30"/>
  <c r="E30"/>
  <c r="D30"/>
  <c r="C30"/>
  <c r="M29"/>
  <c r="O29" s="1"/>
  <c r="H29"/>
  <c r="F29"/>
  <c r="M28"/>
  <c r="O28" s="1"/>
  <c r="F28"/>
  <c r="H28" s="1"/>
  <c r="M27"/>
  <c r="O27" s="1"/>
  <c r="H27"/>
  <c r="F27"/>
  <c r="M26"/>
  <c r="O26" s="1"/>
  <c r="H26"/>
  <c r="F26"/>
  <c r="M25"/>
  <c r="O25" s="1"/>
  <c r="H25"/>
  <c r="F25"/>
  <c r="M24"/>
  <c r="O24" s="1"/>
  <c r="F24"/>
  <c r="H24" s="1"/>
  <c r="M23"/>
  <c r="O23" s="1"/>
  <c r="H23"/>
  <c r="F23"/>
  <c r="M22"/>
  <c r="O22" s="1"/>
  <c r="H22"/>
  <c r="F22"/>
  <c r="M21"/>
  <c r="O21" s="1"/>
  <c r="H21"/>
  <c r="F21"/>
  <c r="M20"/>
  <c r="O20" s="1"/>
  <c r="F20"/>
  <c r="H20" s="1"/>
  <c r="M19"/>
  <c r="O19" s="1"/>
  <c r="H19"/>
  <c r="F19"/>
  <c r="M18"/>
  <c r="M30" s="1"/>
  <c r="H18"/>
  <c r="F18"/>
  <c r="N17"/>
  <c r="L17"/>
  <c r="K17"/>
  <c r="I17"/>
  <c r="G17"/>
  <c r="E17"/>
  <c r="D17"/>
  <c r="C17"/>
  <c r="M16"/>
  <c r="O16" s="1"/>
  <c r="H16"/>
  <c r="F16"/>
  <c r="M15"/>
  <c r="O15" s="1"/>
  <c r="F15"/>
  <c r="H15" s="1"/>
  <c r="M14"/>
  <c r="O14" s="1"/>
  <c r="H14"/>
  <c r="F14"/>
  <c r="M13"/>
  <c r="H13"/>
  <c r="F13"/>
  <c r="O12"/>
  <c r="H12"/>
  <c r="O11"/>
  <c r="M11"/>
  <c r="F11"/>
  <c r="H11" s="1"/>
  <c r="O10"/>
  <c r="M10"/>
  <c r="F10"/>
  <c r="H10" s="1"/>
  <c r="M9"/>
  <c r="O9" s="1"/>
  <c r="F9"/>
  <c r="H9" s="1"/>
  <c r="O8"/>
  <c r="M8"/>
  <c r="F8"/>
  <c r="H8" s="1"/>
  <c r="O7"/>
  <c r="M7"/>
  <c r="F7"/>
  <c r="H7" s="1"/>
  <c r="O6"/>
  <c r="M6"/>
  <c r="F6"/>
  <c r="H6" s="1"/>
  <c r="M5"/>
  <c r="O5" s="1"/>
  <c r="F5"/>
  <c r="H5" s="1"/>
  <c r="I30" i="3" l="1"/>
  <c r="I69"/>
  <c r="I82"/>
  <c r="I121"/>
  <c r="I134"/>
  <c r="I173"/>
  <c r="I186"/>
  <c r="I17"/>
  <c r="M17" i="2"/>
  <c r="O17" s="1"/>
  <c r="F82"/>
  <c r="H108"/>
  <c r="H30"/>
  <c r="M43"/>
  <c r="O43" s="1"/>
  <c r="M56"/>
  <c r="O56" s="1"/>
  <c r="H95"/>
  <c r="F108"/>
  <c r="N147" i="1"/>
  <c r="S30"/>
  <c r="F30" i="2"/>
  <c r="F43"/>
  <c r="H56"/>
  <c r="M69"/>
  <c r="M82"/>
  <c r="O199"/>
  <c r="F56"/>
  <c r="F69"/>
  <c r="H82"/>
  <c r="M108"/>
  <c r="O109"/>
  <c r="H160"/>
  <c r="H121"/>
  <c r="F121"/>
  <c r="O13"/>
  <c r="O30"/>
  <c r="H31"/>
  <c r="H43" s="1"/>
  <c r="O35"/>
  <c r="H57"/>
  <c r="H69" s="1"/>
  <c r="O83"/>
  <c r="H147"/>
  <c r="O147"/>
  <c r="H173"/>
  <c r="O173"/>
  <c r="H199"/>
  <c r="H17"/>
  <c r="H134"/>
  <c r="O134"/>
  <c r="O160"/>
  <c r="H186"/>
  <c r="O186"/>
  <c r="F17"/>
  <c r="O18"/>
  <c r="O44"/>
  <c r="O96"/>
  <c r="S82" i="1"/>
  <c r="S95"/>
  <c r="L56"/>
  <c r="L108"/>
  <c r="U14"/>
  <c r="N199"/>
  <c r="U160"/>
  <c r="L43"/>
  <c r="N121"/>
  <c r="N108"/>
  <c r="N30"/>
  <c r="N186"/>
  <c r="U147"/>
  <c r="L69"/>
  <c r="L95"/>
  <c r="S69"/>
  <c r="N57"/>
  <c r="N69" s="1"/>
  <c r="N33"/>
  <c r="N43" s="1"/>
  <c r="U199"/>
  <c r="U173"/>
  <c r="N134"/>
  <c r="L121"/>
  <c r="O121"/>
  <c r="U85"/>
  <c r="U95" s="1"/>
  <c r="S56"/>
  <c r="L17"/>
  <c r="S43"/>
  <c r="U17"/>
  <c r="U134"/>
  <c r="U70"/>
  <c r="U82" s="1"/>
  <c r="N44"/>
  <c r="N56" s="1"/>
  <c r="L30"/>
  <c r="U186"/>
  <c r="N173"/>
  <c r="N160"/>
  <c r="S121"/>
  <c r="S108"/>
  <c r="L82"/>
  <c r="U30"/>
  <c r="N95"/>
  <c r="U69"/>
  <c r="U56"/>
  <c r="N17"/>
  <c r="U108"/>
  <c r="N70"/>
  <c r="N82" s="1"/>
  <c r="U109"/>
  <c r="U121" s="1"/>
  <c r="U31"/>
  <c r="U43" s="1"/>
  <c r="O95" i="2"/>
  <c r="O82"/>
  <c r="O69"/>
  <c r="O121"/>
  <c r="O108"/>
  <c r="E100" i="1" l="1"/>
  <c r="D100"/>
  <c r="E99"/>
  <c r="E98"/>
  <c r="D98"/>
  <c r="E97"/>
  <c r="E96"/>
  <c r="D96"/>
  <c r="E94"/>
  <c r="E93"/>
  <c r="D93"/>
  <c r="E92"/>
  <c r="E91"/>
  <c r="D91"/>
  <c r="D90"/>
  <c r="E89"/>
  <c r="D89"/>
  <c r="E88"/>
  <c r="E87"/>
  <c r="D87"/>
  <c r="E86"/>
  <c r="D86"/>
  <c r="E85"/>
  <c r="D85"/>
  <c r="D84"/>
  <c r="D83"/>
  <c r="E81"/>
  <c r="E80"/>
  <c r="D80"/>
  <c r="E79"/>
  <c r="E78"/>
  <c r="D78"/>
  <c r="E77"/>
  <c r="E76"/>
  <c r="D76"/>
  <c r="E75"/>
  <c r="E74"/>
  <c r="D74"/>
  <c r="E73"/>
  <c r="D72"/>
  <c r="E71"/>
  <c r="D70"/>
  <c r="E68"/>
  <c r="E67"/>
  <c r="D67"/>
  <c r="E66"/>
  <c r="D66"/>
  <c r="D65"/>
  <c r="E64"/>
  <c r="E63"/>
  <c r="D63"/>
  <c r="E62"/>
  <c r="E61"/>
  <c r="D61"/>
  <c r="E60"/>
  <c r="D60"/>
  <c r="E59"/>
  <c r="D59"/>
  <c r="E58"/>
  <c r="D58"/>
  <c r="E57"/>
  <c r="E55"/>
  <c r="E54"/>
  <c r="D54"/>
  <c r="E53"/>
  <c r="D52"/>
  <c r="E51"/>
  <c r="D51"/>
  <c r="E50"/>
  <c r="D50"/>
  <c r="E49"/>
  <c r="D48"/>
  <c r="D47"/>
  <c r="E46"/>
  <c r="D46"/>
  <c r="E45"/>
  <c r="E44"/>
  <c r="E42"/>
  <c r="E41"/>
  <c r="D41"/>
  <c r="H199"/>
  <c r="G199"/>
  <c r="F199"/>
  <c r="H186"/>
  <c r="G186"/>
  <c r="F186"/>
  <c r="H173"/>
  <c r="G173"/>
  <c r="F173"/>
  <c r="H160"/>
  <c r="G160"/>
  <c r="F160"/>
  <c r="H147"/>
  <c r="G147"/>
  <c r="F147"/>
  <c r="H134"/>
  <c r="G134"/>
  <c r="F134"/>
  <c r="H121"/>
  <c r="G121"/>
  <c r="F121"/>
  <c r="H102"/>
  <c r="H108" s="1"/>
  <c r="G102"/>
  <c r="G108" s="1"/>
  <c r="F102"/>
  <c r="F108" s="1"/>
  <c r="H95"/>
  <c r="G95"/>
  <c r="F95"/>
  <c r="H82"/>
  <c r="G82"/>
  <c r="F82"/>
  <c r="H69"/>
  <c r="G69"/>
  <c r="F69"/>
  <c r="H56"/>
  <c r="G56"/>
  <c r="F56"/>
  <c r="H43"/>
  <c r="G43"/>
  <c r="F43"/>
  <c r="H30"/>
  <c r="G30"/>
  <c r="F30"/>
  <c r="H17"/>
  <c r="G17"/>
  <c r="F17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7"/>
  <c r="D107"/>
  <c r="E106"/>
  <c r="D106"/>
  <c r="E105"/>
  <c r="D105"/>
  <c r="E104"/>
  <c r="D104"/>
  <c r="E103"/>
  <c r="D103"/>
  <c r="E102"/>
  <c r="D102"/>
  <c r="E101"/>
  <c r="D101"/>
  <c r="D99"/>
  <c r="D97"/>
  <c r="D94"/>
  <c r="D92"/>
  <c r="E90"/>
  <c r="D88"/>
  <c r="E84"/>
  <c r="D81"/>
  <c r="D79"/>
  <c r="D77"/>
  <c r="D75"/>
  <c r="D73"/>
  <c r="E72"/>
  <c r="D71"/>
  <c r="E70"/>
  <c r="D68"/>
  <c r="E65"/>
  <c r="D64"/>
  <c r="D62"/>
  <c r="D57"/>
  <c r="D55"/>
  <c r="D53"/>
  <c r="E52"/>
  <c r="D49"/>
  <c r="E48"/>
  <c r="D45"/>
  <c r="D44"/>
  <c r="D42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D31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6"/>
  <c r="D16"/>
  <c r="E15"/>
  <c r="D15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C199"/>
  <c r="C186"/>
  <c r="C173"/>
  <c r="C160"/>
  <c r="C147"/>
  <c r="C134"/>
  <c r="C108"/>
  <c r="C95"/>
  <c r="C82"/>
  <c r="C69"/>
  <c r="C56"/>
  <c r="C43"/>
  <c r="C30"/>
  <c r="C17"/>
  <c r="E83" l="1"/>
  <c r="E47"/>
  <c r="E56" s="1"/>
  <c r="E108"/>
  <c r="D134"/>
  <c r="D108"/>
  <c r="D173"/>
  <c r="E82"/>
  <c r="E160"/>
  <c r="E95"/>
  <c r="D69"/>
  <c r="D95"/>
  <c r="E173"/>
  <c r="D186"/>
  <c r="D160"/>
  <c r="D43"/>
  <c r="D56"/>
  <c r="D82"/>
  <c r="D147"/>
  <c r="D199"/>
  <c r="E134"/>
  <c r="E147"/>
  <c r="E186"/>
  <c r="E199"/>
  <c r="E69"/>
  <c r="D17"/>
  <c r="E31" l="1"/>
  <c r="E43" s="1"/>
  <c r="E18"/>
  <c r="E30" s="1"/>
  <c r="D18"/>
  <c r="D30" s="1"/>
  <c r="E14"/>
  <c r="E17" s="1"/>
</calcChain>
</file>

<file path=xl/sharedStrings.xml><?xml version="1.0" encoding="utf-8"?>
<sst xmlns="http://schemas.openxmlformats.org/spreadsheetml/2006/main" count="688" uniqueCount="57">
  <si>
    <t>PRODUCT</t>
  </si>
  <si>
    <t>FAT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</si>
  <si>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</si>
  <si>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</si>
  <si>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</si>
  <si>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</si>
  <si>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</si>
  <si>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</si>
  <si>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</si>
  <si>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</si>
  <si>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</si>
  <si>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</si>
  <si>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</si>
  <si>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</si>
  <si>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</si>
  <si>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SNF</t>
  </si>
  <si>
    <t>Fortification</t>
  </si>
  <si>
    <t>Pool Pounds</t>
  </si>
  <si>
    <t>Product</t>
  </si>
  <si>
    <t>Fat</t>
  </si>
  <si>
    <t>Class 1</t>
  </si>
  <si>
    <t>Class 2</t>
  </si>
  <si>
    <t>Class 3</t>
  </si>
  <si>
    <t>Class 4a</t>
  </si>
  <si>
    <t>Class 4b</t>
  </si>
  <si>
    <t>Total</t>
  </si>
  <si>
    <t>Fluid Carrier</t>
  </si>
  <si>
    <t>Powder</t>
  </si>
  <si>
    <t>Dollars</t>
  </si>
  <si>
    <t>Condensed Skim</t>
  </si>
  <si>
    <t>Producer Handler Exempt Class 1</t>
  </si>
  <si>
    <t>Pounds SNF</t>
  </si>
  <si>
    <t>Transportation Allowance</t>
  </si>
  <si>
    <t>Component Pounds shows the pounds of Fat, SNF and Class 1 Fluid carrier included in the pool.</t>
  </si>
  <si>
    <t>Fortification shows the lbs of SNF in powder and condensed skim used to fortify Class 1 products, and the allowance to handlers for doing so.</t>
  </si>
  <si>
    <t>Transportation Allowances show the dollars paid to producers on milk moved to Northern Ca and Southern Ca plants.</t>
  </si>
  <si>
    <t>Year</t>
  </si>
  <si>
    <t>Month</t>
  </si>
  <si>
    <t>NOTES</t>
  </si>
  <si>
    <t>Summary of Component Revenue</t>
  </si>
  <si>
    <t>Summary of Fortification and Transportation Allowance</t>
  </si>
  <si>
    <t>Northern Calif.</t>
  </si>
  <si>
    <t>Southern Calif.</t>
  </si>
  <si>
    <t>Allowance
(In Dollars)</t>
  </si>
  <si>
    <t>Summary of Pool Pounds, Component Pounds, Producer Handler Exempt Class 1 (All In Pounds)</t>
  </si>
  <si>
    <t>Source: CDFA Milk Pooling Branch</t>
  </si>
  <si>
    <t>Pooled Component Pounds</t>
  </si>
  <si>
    <t>Pooled Component Revenue - All In $Dollars</t>
  </si>
  <si>
    <t>Producer Handler Type 70 Exempt Class 1 is the pounds of milk, fat and SNF produced by partially exempt handlers and that qualified for the exemption.</t>
  </si>
  <si>
    <t>Pool pounds is the pounds of milk, fat and SNF paid out to producers.</t>
  </si>
  <si>
    <t>Class 1 and 2  have been reduced by plant overage, with half being allocated to each.</t>
  </si>
  <si>
    <t>Class 4a is net of inventory varience.</t>
  </si>
  <si>
    <t>Class 1 SNF has fortification allowances deducted.</t>
  </si>
  <si>
    <t xml:space="preserve">Component Revenue shows the dollars of revenue pooled by class of Fat, SNF and Class 1 Fluid carrier.  </t>
  </si>
  <si>
    <t>Pool Usage Percentages</t>
  </si>
  <si>
    <t>Bulk inventory variance has been included in Class 4a pounds and revenue.</t>
  </si>
  <si>
    <t>Summary of Pool Usage Percentages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</si>
</sst>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General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5" fillId="0" borderId="7" xfId="0" applyNumberFormat="1" applyFont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39" fontId="2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43" fontId="2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37" fontId="2" fillId="0" borderId="20" xfId="0" applyNumberFormat="1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4" fontId="7" fillId="0" borderId="7" xfId="0" applyNumberFormat="1" applyFont="1" applyBorder="1" applyAlignment="1" applyProtection="1">
      <alignment horizontal="left" vertical="center"/>
    </xf>
    <xf numFmtId="0" fontId="6" fillId="0" borderId="43" xfId="0" applyFont="1" applyBorder="1" applyAlignment="1">
      <alignment horizontal="center" vertical="center"/>
    </xf>
    <xf numFmtId="164" fontId="7" fillId="0" borderId="44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left" vertical="center"/>
    </xf>
    <xf numFmtId="164" fontId="5" fillId="0" borderId="5" xfId="0" applyNumberFormat="1" applyFont="1" applyFill="1" applyBorder="1" applyAlignment="1" applyProtection="1">
      <alignment horizontal="left" vertical="center"/>
    </xf>
    <xf numFmtId="0" fontId="6" fillId="0" borderId="60" xfId="0" applyFont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left" vertical="center"/>
    </xf>
    <xf numFmtId="0" fontId="6" fillId="0" borderId="67" xfId="0" applyFont="1" applyBorder="1" applyAlignment="1">
      <alignment horizontal="center" vertical="center"/>
    </xf>
    <xf numFmtId="164" fontId="7" fillId="0" borderId="48" xfId="0" applyNumberFormat="1" applyFont="1" applyBorder="1" applyAlignment="1" applyProtection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9" fontId="5" fillId="0" borderId="57" xfId="0" applyNumberFormat="1" applyFont="1" applyBorder="1" applyAlignment="1" applyProtection="1">
      <alignment vertical="center"/>
    </xf>
    <xf numFmtId="39" fontId="5" fillId="0" borderId="11" xfId="0" applyNumberFormat="1" applyFont="1" applyBorder="1" applyAlignment="1" applyProtection="1">
      <alignment vertical="center"/>
    </xf>
    <xf numFmtId="39" fontId="5" fillId="0" borderId="5" xfId="0" applyNumberFormat="1" applyFont="1" applyBorder="1" applyAlignment="1" applyProtection="1">
      <alignment vertical="center"/>
    </xf>
    <xf numFmtId="43" fontId="5" fillId="0" borderId="65" xfId="1" applyFont="1" applyBorder="1" applyAlignment="1" applyProtection="1">
      <alignment vertical="center"/>
    </xf>
    <xf numFmtId="39" fontId="5" fillId="0" borderId="8" xfId="0" applyNumberFormat="1" applyFont="1" applyBorder="1" applyAlignment="1" applyProtection="1">
      <alignment vertical="center"/>
    </xf>
    <xf numFmtId="39" fontId="5" fillId="0" borderId="59" xfId="0" applyNumberFormat="1" applyFont="1" applyBorder="1" applyAlignment="1" applyProtection="1">
      <alignment vertical="center"/>
    </xf>
    <xf numFmtId="39" fontId="5" fillId="0" borderId="11" xfId="0" quotePrefix="1" applyNumberFormat="1" applyFont="1" applyBorder="1" applyAlignment="1" applyProtection="1">
      <alignment vertical="center"/>
    </xf>
    <xf numFmtId="39" fontId="7" fillId="0" borderId="67" xfId="0" applyNumberFormat="1" applyFont="1" applyBorder="1" applyAlignment="1" applyProtection="1">
      <alignment vertical="center"/>
    </xf>
    <xf numFmtId="39" fontId="7" fillId="0" borderId="45" xfId="0" applyNumberFormat="1" applyFont="1" applyBorder="1" applyAlignment="1" applyProtection="1">
      <alignment vertical="center"/>
    </xf>
    <xf numFmtId="39" fontId="7" fillId="0" borderId="48" xfId="0" applyNumberFormat="1" applyFont="1" applyBorder="1" applyAlignment="1" applyProtection="1">
      <alignment vertical="center"/>
    </xf>
    <xf numFmtId="43" fontId="7" fillId="0" borderId="42" xfId="1" applyFont="1" applyBorder="1" applyAlignment="1" applyProtection="1">
      <alignment vertical="center"/>
    </xf>
    <xf numFmtId="39" fontId="7" fillId="0" borderId="50" xfId="0" applyNumberFormat="1" applyFont="1" applyBorder="1" applyAlignment="1" applyProtection="1">
      <alignment vertical="center"/>
    </xf>
    <xf numFmtId="39" fontId="7" fillId="0" borderId="68" xfId="0" applyNumberFormat="1" applyFont="1" applyBorder="1" applyAlignment="1" applyProtection="1">
      <alignment vertical="center"/>
    </xf>
    <xf numFmtId="39" fontId="5" fillId="0" borderId="60" xfId="0" applyNumberFormat="1" applyFont="1" applyBorder="1" applyAlignment="1" applyProtection="1">
      <alignment vertical="center"/>
    </xf>
    <xf numFmtId="39" fontId="5" fillId="0" borderId="13" xfId="0" applyNumberFormat="1" applyFont="1" applyBorder="1" applyAlignment="1" applyProtection="1">
      <alignment vertical="center"/>
    </xf>
    <xf numFmtId="39" fontId="5" fillId="0" borderId="10" xfId="0" applyNumberFormat="1" applyFont="1" applyBorder="1" applyAlignment="1" applyProtection="1">
      <alignment vertical="center"/>
    </xf>
    <xf numFmtId="43" fontId="5" fillId="0" borderId="66" xfId="1" applyFont="1" applyBorder="1" applyAlignment="1" applyProtection="1">
      <alignment vertical="center"/>
    </xf>
    <xf numFmtId="39" fontId="5" fillId="0" borderId="9" xfId="0" applyNumberFormat="1" applyFont="1" applyBorder="1" applyAlignment="1" applyProtection="1">
      <alignment vertical="center"/>
    </xf>
    <xf numFmtId="39" fontId="5" fillId="0" borderId="61" xfId="0" applyNumberFormat="1" applyFont="1" applyBorder="1" applyAlignment="1" applyProtection="1">
      <alignment vertical="center"/>
    </xf>
    <xf numFmtId="39" fontId="7" fillId="0" borderId="60" xfId="0" applyNumberFormat="1" applyFont="1" applyBorder="1" applyAlignment="1" applyProtection="1">
      <alignment vertical="center"/>
    </xf>
    <xf numFmtId="39" fontId="7" fillId="0" borderId="13" xfId="0" applyNumberFormat="1" applyFont="1" applyBorder="1" applyAlignment="1" applyProtection="1">
      <alignment vertical="center"/>
    </xf>
    <xf numFmtId="39" fontId="7" fillId="0" borderId="10" xfId="0" applyNumberFormat="1" applyFont="1" applyBorder="1" applyAlignment="1" applyProtection="1">
      <alignment vertical="center"/>
    </xf>
    <xf numFmtId="43" fontId="7" fillId="0" borderId="66" xfId="1" applyFont="1" applyBorder="1" applyAlignment="1" applyProtection="1">
      <alignment vertical="center"/>
    </xf>
    <xf numFmtId="39" fontId="7" fillId="0" borderId="9" xfId="0" applyNumberFormat="1" applyFont="1" applyBorder="1" applyAlignment="1" applyProtection="1">
      <alignment vertical="center"/>
    </xf>
    <xf numFmtId="39" fontId="7" fillId="0" borderId="61" xfId="0" applyNumberFormat="1" applyFont="1" applyBorder="1" applyAlignment="1" applyProtection="1">
      <alignment vertical="center"/>
    </xf>
    <xf numFmtId="39" fontId="5" fillId="0" borderId="57" xfId="0" applyNumberFormat="1" applyFont="1" applyFill="1" applyBorder="1" applyAlignment="1" applyProtection="1">
      <alignment vertical="center"/>
    </xf>
    <xf numFmtId="39" fontId="5" fillId="0" borderId="11" xfId="0" applyNumberFormat="1" applyFont="1" applyFill="1" applyBorder="1" applyAlignment="1" applyProtection="1">
      <alignment vertical="center"/>
    </xf>
    <xf numFmtId="39" fontId="5" fillId="0" borderId="5" xfId="0" applyNumberFormat="1" applyFont="1" applyFill="1" applyBorder="1" applyAlignment="1" applyProtection="1">
      <alignment vertical="center"/>
    </xf>
    <xf numFmtId="43" fontId="5" fillId="0" borderId="65" xfId="1" applyFont="1" applyFill="1" applyBorder="1" applyAlignment="1" applyProtection="1">
      <alignment vertical="center"/>
    </xf>
    <xf numFmtId="39" fontId="5" fillId="0" borderId="8" xfId="0" applyNumberFormat="1" applyFont="1" applyFill="1" applyBorder="1" applyAlignment="1" applyProtection="1">
      <alignment vertical="center"/>
    </xf>
    <xf numFmtId="39" fontId="5" fillId="0" borderId="59" xfId="0" applyNumberFormat="1" applyFont="1" applyFill="1" applyBorder="1" applyAlignment="1" applyProtection="1">
      <alignment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37" fontId="5" fillId="0" borderId="57" xfId="0" applyNumberFormat="1" applyFont="1" applyBorder="1" applyAlignment="1" applyProtection="1">
      <alignment horizontal="right" vertical="center" indent="2"/>
    </xf>
    <xf numFmtId="39" fontId="5" fillId="0" borderId="5" xfId="0" applyNumberFormat="1" applyFont="1" applyBorder="1" applyAlignment="1" applyProtection="1">
      <alignment horizontal="right" vertical="center" indent="2"/>
    </xf>
    <xf numFmtId="39" fontId="5" fillId="0" borderId="59" xfId="0" applyNumberFormat="1" applyFont="1" applyBorder="1" applyAlignment="1" applyProtection="1">
      <alignment horizontal="right" vertical="center" indent="2"/>
    </xf>
    <xf numFmtId="39" fontId="5" fillId="0" borderId="8" xfId="0" applyNumberFormat="1" applyFont="1" applyBorder="1" applyAlignment="1" applyProtection="1">
      <alignment horizontal="right" vertical="center" indent="2"/>
    </xf>
    <xf numFmtId="39" fontId="5" fillId="0" borderId="11" xfId="0" applyNumberFormat="1" applyFont="1" applyBorder="1" applyAlignment="1" applyProtection="1">
      <alignment horizontal="right" vertical="center" indent="2"/>
    </xf>
    <xf numFmtId="37" fontId="7" fillId="0" borderId="67" xfId="0" applyNumberFormat="1" applyFont="1" applyBorder="1" applyAlignment="1" applyProtection="1">
      <alignment horizontal="right" vertical="center" indent="2"/>
    </xf>
    <xf numFmtId="39" fontId="7" fillId="0" borderId="48" xfId="0" applyNumberFormat="1" applyFont="1" applyBorder="1" applyAlignment="1" applyProtection="1">
      <alignment horizontal="right" vertical="center" indent="2"/>
    </xf>
    <xf numFmtId="39" fontId="7" fillId="0" borderId="68" xfId="0" applyNumberFormat="1" applyFont="1" applyBorder="1" applyAlignment="1" applyProtection="1">
      <alignment horizontal="right" vertical="center" indent="2"/>
    </xf>
    <xf numFmtId="39" fontId="7" fillId="0" borderId="50" xfId="0" applyNumberFormat="1" applyFont="1" applyBorder="1" applyAlignment="1" applyProtection="1">
      <alignment horizontal="right" vertical="center" indent="2"/>
    </xf>
    <xf numFmtId="39" fontId="7" fillId="0" borderId="45" xfId="0" applyNumberFormat="1" applyFont="1" applyBorder="1" applyAlignment="1" applyProtection="1">
      <alignment horizontal="right" vertical="center" indent="2"/>
    </xf>
    <xf numFmtId="37" fontId="5" fillId="0" borderId="60" xfId="0" applyNumberFormat="1" applyFont="1" applyBorder="1" applyAlignment="1" applyProtection="1">
      <alignment horizontal="right" vertical="center" indent="2"/>
    </xf>
    <xf numFmtId="39" fontId="5" fillId="0" borderId="10" xfId="0" applyNumberFormat="1" applyFont="1" applyBorder="1" applyAlignment="1" applyProtection="1">
      <alignment horizontal="right" vertical="center" indent="2"/>
    </xf>
    <xf numFmtId="39" fontId="5" fillId="0" borderId="61" xfId="0" applyNumberFormat="1" applyFont="1" applyBorder="1" applyAlignment="1" applyProtection="1">
      <alignment horizontal="right" vertical="center" indent="2"/>
    </xf>
    <xf numFmtId="39" fontId="5" fillId="0" borderId="9" xfId="0" applyNumberFormat="1" applyFont="1" applyBorder="1" applyAlignment="1" applyProtection="1">
      <alignment horizontal="right" vertical="center" indent="2"/>
    </xf>
    <xf numFmtId="39" fontId="5" fillId="0" borderId="13" xfId="0" applyNumberFormat="1" applyFont="1" applyBorder="1" applyAlignment="1" applyProtection="1">
      <alignment horizontal="right" vertical="center" indent="2"/>
    </xf>
    <xf numFmtId="37" fontId="7" fillId="0" borderId="60" xfId="0" applyNumberFormat="1" applyFont="1" applyBorder="1" applyAlignment="1" applyProtection="1">
      <alignment horizontal="right" vertical="center" indent="2"/>
    </xf>
    <xf numFmtId="39" fontId="7" fillId="0" borderId="10" xfId="0" applyNumberFormat="1" applyFont="1" applyBorder="1" applyAlignment="1" applyProtection="1">
      <alignment horizontal="right" vertical="center" indent="2"/>
    </xf>
    <xf numFmtId="39" fontId="7" fillId="0" borderId="61" xfId="0" applyNumberFormat="1" applyFont="1" applyBorder="1" applyAlignment="1" applyProtection="1">
      <alignment horizontal="right" vertical="center" indent="2"/>
    </xf>
    <xf numFmtId="39" fontId="7" fillId="0" borderId="9" xfId="0" applyNumberFormat="1" applyFont="1" applyBorder="1" applyAlignment="1" applyProtection="1">
      <alignment horizontal="right" vertical="center" indent="2"/>
    </xf>
    <xf numFmtId="39" fontId="7" fillId="0" borderId="13" xfId="0" applyNumberFormat="1" applyFont="1" applyBorder="1" applyAlignment="1" applyProtection="1">
      <alignment horizontal="right" vertical="center" indent="2"/>
    </xf>
    <xf numFmtId="37" fontId="5" fillId="0" borderId="57" xfId="0" applyNumberFormat="1" applyFont="1" applyFill="1" applyBorder="1" applyAlignment="1" applyProtection="1">
      <alignment horizontal="right" vertical="center" indent="2"/>
    </xf>
    <xf numFmtId="39" fontId="5" fillId="0" borderId="5" xfId="0" applyNumberFormat="1" applyFont="1" applyFill="1" applyBorder="1" applyAlignment="1" applyProtection="1">
      <alignment horizontal="right" vertical="center" indent="2"/>
    </xf>
    <xf numFmtId="39" fontId="5" fillId="0" borderId="59" xfId="0" applyNumberFormat="1" applyFont="1" applyFill="1" applyBorder="1" applyAlignment="1" applyProtection="1">
      <alignment horizontal="right" vertical="center" indent="2"/>
    </xf>
    <xf numFmtId="39" fontId="5" fillId="0" borderId="8" xfId="0" applyNumberFormat="1" applyFont="1" applyFill="1" applyBorder="1" applyAlignment="1" applyProtection="1">
      <alignment horizontal="right" vertical="center" indent="2"/>
    </xf>
    <xf numFmtId="39" fontId="5" fillId="0" borderId="11" xfId="0" applyNumberFormat="1" applyFont="1" applyFill="1" applyBorder="1" applyAlignment="1" applyProtection="1">
      <alignment horizontal="right" vertical="center" indent="2"/>
    </xf>
    <xf numFmtId="37" fontId="5" fillId="0" borderId="16" xfId="0" applyNumberFormat="1" applyFont="1" applyBorder="1" applyAlignment="1" applyProtection="1">
      <alignment vertical="center"/>
    </xf>
    <xf numFmtId="37" fontId="5" fillId="0" borderId="11" xfId="0" applyNumberFormat="1" applyFont="1" applyBorder="1" applyAlignment="1" applyProtection="1">
      <alignment vertical="center"/>
    </xf>
    <xf numFmtId="37" fontId="5" fillId="0" borderId="17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21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7" fillId="0" borderId="43" xfId="0" applyNumberFormat="1" applyFont="1" applyBorder="1" applyAlignment="1" applyProtection="1">
      <alignment vertical="center"/>
    </xf>
    <xf numFmtId="37" fontId="7" fillId="0" borderId="45" xfId="0" applyNumberFormat="1" applyFont="1" applyBorder="1" applyAlignment="1" applyProtection="1">
      <alignment vertical="center"/>
    </xf>
    <xf numFmtId="37" fontId="7" fillId="0" borderId="46" xfId="0" applyNumberFormat="1" applyFont="1" applyBorder="1" applyAlignment="1" applyProtection="1">
      <alignment vertical="center"/>
    </xf>
    <xf numFmtId="37" fontId="7" fillId="0" borderId="44" xfId="0" applyNumberFormat="1" applyFont="1" applyBorder="1" applyAlignment="1" applyProtection="1">
      <alignment vertical="center"/>
    </xf>
    <xf numFmtId="37" fontId="7" fillId="0" borderId="47" xfId="0" applyNumberFormat="1" applyFont="1" applyBorder="1" applyAlignment="1" applyProtection="1">
      <alignment vertical="center"/>
    </xf>
    <xf numFmtId="37" fontId="7" fillId="0" borderId="48" xfId="0" applyNumberFormat="1" applyFont="1" applyBorder="1" applyAlignment="1" applyProtection="1">
      <alignment vertical="center"/>
    </xf>
    <xf numFmtId="37" fontId="7" fillId="0" borderId="49" xfId="0" applyNumberFormat="1" applyFont="1" applyBorder="1" applyAlignment="1" applyProtection="1">
      <alignment vertical="center"/>
    </xf>
    <xf numFmtId="37" fontId="7" fillId="0" borderId="50" xfId="0" applyNumberFormat="1" applyFont="1" applyBorder="1" applyAlignment="1" applyProtection="1">
      <alignment vertical="center"/>
    </xf>
    <xf numFmtId="37" fontId="5" fillId="0" borderId="18" xfId="0" applyNumberFormat="1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vertical="center"/>
    </xf>
    <xf numFmtId="37" fontId="7" fillId="0" borderId="18" xfId="0" applyNumberFormat="1" applyFont="1" applyBorder="1" applyAlignment="1" applyProtection="1">
      <alignment vertical="center"/>
    </xf>
    <xf numFmtId="37" fontId="7" fillId="0" borderId="13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24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7" fontId="7" fillId="0" borderId="2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5" fillId="0" borderId="23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12" fillId="0" borderId="29" xfId="0" applyNumberFormat="1" applyFont="1" applyBorder="1" applyAlignment="1" applyProtection="1">
      <alignment horizontal="center" vertical="center"/>
    </xf>
    <xf numFmtId="164" fontId="12" fillId="0" borderId="28" xfId="0" applyNumberFormat="1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0" fontId="4" fillId="0" borderId="84" xfId="0" applyFont="1" applyBorder="1" applyAlignment="1">
      <alignment horizontal="center" vertical="center"/>
    </xf>
    <xf numFmtId="164" fontId="5" fillId="0" borderId="82" xfId="0" applyNumberFormat="1" applyFont="1" applyBorder="1" applyAlignment="1" applyProtection="1">
      <alignment horizontal="left" vertical="center"/>
    </xf>
    <xf numFmtId="0" fontId="4" fillId="0" borderId="41" xfId="0" applyFont="1" applyBorder="1" applyAlignment="1">
      <alignment horizontal="center" vertical="center"/>
    </xf>
    <xf numFmtId="164" fontId="5" fillId="0" borderId="85" xfId="0" applyNumberFormat="1" applyFont="1" applyBorder="1" applyAlignment="1" applyProtection="1">
      <alignment horizontal="left" vertical="center"/>
    </xf>
    <xf numFmtId="0" fontId="4" fillId="0" borderId="86" xfId="0" applyFont="1" applyBorder="1" applyAlignment="1">
      <alignment horizontal="center" vertical="center"/>
    </xf>
    <xf numFmtId="164" fontId="5" fillId="0" borderId="87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left" vertical="center"/>
    </xf>
    <xf numFmtId="0" fontId="4" fillId="0" borderId="90" xfId="0" applyFont="1" applyBorder="1" applyAlignment="1">
      <alignment horizontal="center" vertical="center"/>
    </xf>
    <xf numFmtId="164" fontId="5" fillId="0" borderId="91" xfId="0" applyNumberFormat="1" applyFont="1" applyBorder="1" applyAlignment="1" applyProtection="1">
      <alignment horizontal="left" vertical="center"/>
    </xf>
    <xf numFmtId="0" fontId="4" fillId="0" borderId="94" xfId="0" applyFont="1" applyBorder="1" applyAlignment="1">
      <alignment horizontal="center" vertical="center"/>
    </xf>
    <xf numFmtId="164" fontId="5" fillId="0" borderId="95" xfId="0" applyNumberFormat="1" applyFont="1" applyBorder="1" applyAlignment="1" applyProtection="1">
      <alignment horizontal="left" vertical="center"/>
    </xf>
    <xf numFmtId="165" fontId="0" fillId="0" borderId="88" xfId="2" applyNumberFormat="1" applyFont="1" applyBorder="1" applyAlignment="1">
      <alignment vertical="center"/>
    </xf>
    <xf numFmtId="165" fontId="0" fillId="0" borderId="88" xfId="0" applyNumberFormat="1" applyBorder="1" applyAlignment="1">
      <alignment vertical="center"/>
    </xf>
    <xf numFmtId="165" fontId="0" fillId="0" borderId="89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81" xfId="2" applyNumberFormat="1" applyFont="1" applyBorder="1" applyAlignment="1">
      <alignment vertical="center"/>
    </xf>
    <xf numFmtId="165" fontId="0" fillId="0" borderId="81" xfId="0" applyNumberFormat="1" applyBorder="1" applyAlignment="1">
      <alignment vertical="center"/>
    </xf>
    <xf numFmtId="165" fontId="0" fillId="0" borderId="58" xfId="0" applyNumberFormat="1" applyBorder="1" applyAlignment="1">
      <alignment vertical="center"/>
    </xf>
    <xf numFmtId="165" fontId="0" fillId="0" borderId="79" xfId="2" applyNumberFormat="1" applyFont="1" applyBorder="1" applyAlignment="1">
      <alignment vertical="center"/>
    </xf>
    <xf numFmtId="165" fontId="0" fillId="0" borderId="79" xfId="0" applyNumberFormat="1" applyBorder="1" applyAlignment="1">
      <alignment vertical="center"/>
    </xf>
    <xf numFmtId="165" fontId="0" fillId="0" borderId="80" xfId="0" applyNumberFormat="1" applyBorder="1" applyAlignment="1">
      <alignment vertical="center"/>
    </xf>
    <xf numFmtId="165" fontId="0" fillId="0" borderId="92" xfId="2" applyNumberFormat="1" applyFont="1" applyBorder="1" applyAlignment="1">
      <alignment vertical="center"/>
    </xf>
    <xf numFmtId="165" fontId="0" fillId="0" borderId="92" xfId="0" applyNumberFormat="1" applyBorder="1" applyAlignment="1">
      <alignment vertical="center"/>
    </xf>
    <xf numFmtId="165" fontId="0" fillId="0" borderId="93" xfId="0" applyNumberFormat="1" applyBorder="1" applyAlignment="1">
      <alignment vertical="center"/>
    </xf>
    <xf numFmtId="165" fontId="0" fillId="0" borderId="96" xfId="2" applyNumberFormat="1" applyFont="1" applyBorder="1" applyAlignment="1">
      <alignment vertical="center"/>
    </xf>
    <xf numFmtId="165" fontId="0" fillId="0" borderId="96" xfId="0" applyNumberFormat="1" applyBorder="1" applyAlignment="1">
      <alignment vertical="center"/>
    </xf>
    <xf numFmtId="165" fontId="0" fillId="0" borderId="97" xfId="0" applyNumberFormat="1" applyBorder="1" applyAlignment="1">
      <alignment vertical="center"/>
    </xf>
    <xf numFmtId="165" fontId="0" fillId="0" borderId="28" xfId="2" applyNumberFormat="1" applyFont="1" applyBorder="1" applyAlignment="1">
      <alignment vertical="center"/>
    </xf>
    <xf numFmtId="165" fontId="0" fillId="0" borderId="28" xfId="0" applyNumberFormat="1" applyBorder="1" applyAlignment="1">
      <alignment vertical="center"/>
    </xf>
    <xf numFmtId="165" fontId="0" fillId="0" borderId="74" xfId="0" applyNumberForma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165" fontId="0" fillId="0" borderId="98" xfId="2" applyNumberFormat="1" applyFont="1" applyBorder="1" applyAlignment="1">
      <alignment vertical="center"/>
    </xf>
    <xf numFmtId="165" fontId="0" fillId="0" borderId="72" xfId="2" applyNumberFormat="1" applyFont="1" applyBorder="1" applyAlignment="1">
      <alignment vertical="center"/>
    </xf>
    <xf numFmtId="165" fontId="0" fillId="0" borderId="99" xfId="2" applyNumberFormat="1" applyFont="1" applyBorder="1" applyAlignment="1">
      <alignment vertical="center"/>
    </xf>
    <xf numFmtId="165" fontId="0" fillId="0" borderId="100" xfId="2" applyNumberFormat="1" applyFont="1" applyBorder="1" applyAlignment="1">
      <alignment vertical="center"/>
    </xf>
    <xf numFmtId="165" fontId="0" fillId="0" borderId="101" xfId="2" applyNumberFormat="1" applyFont="1" applyBorder="1" applyAlignment="1">
      <alignment vertical="center"/>
    </xf>
    <xf numFmtId="165" fontId="0" fillId="0" borderId="73" xfId="2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0" fillId="0" borderId="102" xfId="2" applyNumberFormat="1" applyFont="1" applyBorder="1" applyAlignment="1">
      <alignment vertical="center"/>
    </xf>
    <xf numFmtId="165" fontId="0" fillId="0" borderId="6" xfId="2" applyNumberFormat="1" applyFont="1" applyBorder="1" applyAlignment="1">
      <alignment vertical="center"/>
    </xf>
    <xf numFmtId="165" fontId="0" fillId="0" borderId="103" xfId="2" applyNumberFormat="1" applyFont="1" applyBorder="1" applyAlignment="1">
      <alignment vertical="center"/>
    </xf>
    <xf numFmtId="165" fontId="0" fillId="0" borderId="104" xfId="2" applyNumberFormat="1" applyFont="1" applyBorder="1" applyAlignment="1">
      <alignment vertical="center"/>
    </xf>
    <xf numFmtId="165" fontId="0" fillId="0" borderId="105" xfId="2" applyNumberFormat="1" applyFont="1" applyBorder="1" applyAlignment="1">
      <alignment vertical="center"/>
    </xf>
    <xf numFmtId="165" fontId="0" fillId="0" borderId="30" xfId="2" applyNumberFormat="1" applyFont="1" applyBorder="1" applyAlignment="1">
      <alignment vertical="center"/>
    </xf>
    <xf numFmtId="165" fontId="0" fillId="0" borderId="98" xfId="0" applyNumberFormat="1" applyBorder="1" applyAlignment="1">
      <alignment vertical="center"/>
    </xf>
    <xf numFmtId="165" fontId="0" fillId="0" borderId="72" xfId="0" applyNumberFormat="1" applyBorder="1" applyAlignment="1">
      <alignment vertical="center"/>
    </xf>
    <xf numFmtId="165" fontId="0" fillId="0" borderId="99" xfId="0" applyNumberFormat="1" applyBorder="1" applyAlignment="1">
      <alignment vertical="center"/>
    </xf>
    <xf numFmtId="165" fontId="0" fillId="0" borderId="100" xfId="0" applyNumberFormat="1" applyBorder="1" applyAlignment="1">
      <alignment vertical="center"/>
    </xf>
    <xf numFmtId="165" fontId="0" fillId="0" borderId="101" xfId="0" applyNumberFormat="1" applyBorder="1" applyAlignment="1">
      <alignment vertical="center"/>
    </xf>
    <xf numFmtId="165" fontId="0" fillId="0" borderId="73" xfId="0" applyNumberFormat="1" applyBorder="1" applyAlignment="1">
      <alignment vertical="center"/>
    </xf>
    <xf numFmtId="37" fontId="2" fillId="0" borderId="0" xfId="0" applyNumberFormat="1" applyFont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2" fillId="0" borderId="37" xfId="0" applyNumberFormat="1" applyFont="1" applyBorder="1" applyAlignment="1" applyProtection="1">
      <alignment horizontal="center" vertical="center"/>
    </xf>
    <xf numFmtId="164" fontId="12" fillId="0" borderId="38" xfId="0" applyNumberFormat="1" applyFont="1" applyBorder="1" applyAlignment="1" applyProtection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164" fontId="12" fillId="0" borderId="53" xfId="0" applyNumberFormat="1" applyFont="1" applyBorder="1" applyAlignment="1" applyProtection="1">
      <alignment horizontal="center" vertical="center"/>
    </xf>
    <xf numFmtId="164" fontId="12" fillId="0" borderId="54" xfId="0" applyNumberFormat="1" applyFont="1" applyBorder="1" applyAlignment="1" applyProtection="1">
      <alignment horizontal="center" vertical="center"/>
    </xf>
    <xf numFmtId="164" fontId="12" fillId="0" borderId="7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206"/>
  <sheetViews>
    <sheetView workbookViewId="0">
      <selection activeCell="J4" sqref="J4"/>
    </sheetView>
    <sheetView tabSelected="1" workbookViewId="1">
      <selection activeCell="D4" sqref="D4"/>
    </sheetView>
  </sheetViews>
  <sheetFormatPr defaultColWidth="9.140625" defaultRowHeight="18" customHeight="1"/>
  <cols>
    <col min="1" max="1" width="9.140625" style="4"/>
    <col min="2" max="2" width="16.7109375" style="10" customWidth="1"/>
    <col min="3" max="3" width="15.7109375" style="5" bestFit="1" customWidth="1"/>
    <col min="4" max="5" width="14.7109375" style="5" bestFit="1" customWidth="1"/>
    <col min="6" max="8" width="15.28515625" style="5" customWidth="1"/>
    <col min="9" max="14" width="13.140625" style="5" customWidth="1"/>
    <col min="15" max="15" width="13.28515625" style="5" customWidth="1"/>
    <col min="16" max="21" width="13.140625" style="5" customWidth="1"/>
    <col min="22" max="22" width="1.28515625" customWidth="1"/>
    <col min="23" max="36" width="8.85546875"/>
    <col min="37" max="37" width="9.7109375" customWidth="1"/>
    <col min="38" max="38" width="10.7109375" customWidth="1"/>
    <col min="39" max="39" width="12.42578125" customWidth="1"/>
    <col min="40" max="40" width="14.140625" customWidth="1"/>
    <col min="41" max="42" width="13.5703125" customWidth="1"/>
    <col min="43" max="43" width="14.7109375" customWidth="1"/>
    <col min="44" max="115" width="8.85546875" customWidth="1"/>
    <col min="116" max="16384" width="9.140625" style="5"/>
  </cols>
  <sheetData>
    <row r="1" spans="1:115" ht="25.5" customHeight="1" thickBot="1">
      <c r="A1" s="219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115" s="3" customFormat="1" ht="18" customHeight="1" thickBot="1">
      <c r="A2" s="222" t="s">
        <v>36</v>
      </c>
      <c r="B2" s="223" t="s">
        <v>37</v>
      </c>
      <c r="C2" s="222" t="s">
        <v>17</v>
      </c>
      <c r="D2" s="223"/>
      <c r="E2" s="224"/>
      <c r="F2" s="223" t="s">
        <v>30</v>
      </c>
      <c r="G2" s="223"/>
      <c r="H2" s="228"/>
      <c r="I2" s="234" t="s">
        <v>46</v>
      </c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4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s="2" customFormat="1" ht="18" customHeight="1">
      <c r="A3" s="230"/>
      <c r="B3" s="232"/>
      <c r="C3" s="225"/>
      <c r="D3" s="226"/>
      <c r="E3" s="227"/>
      <c r="F3" s="226"/>
      <c r="G3" s="226"/>
      <c r="H3" s="229"/>
      <c r="I3" s="235" t="s">
        <v>1</v>
      </c>
      <c r="J3" s="236"/>
      <c r="K3" s="236"/>
      <c r="L3" s="236"/>
      <c r="M3" s="236"/>
      <c r="N3" s="236"/>
      <c r="O3" s="149" t="s">
        <v>26</v>
      </c>
      <c r="P3" s="237" t="s">
        <v>15</v>
      </c>
      <c r="Q3" s="237"/>
      <c r="R3" s="237"/>
      <c r="S3" s="237"/>
      <c r="T3" s="237"/>
      <c r="U3" s="23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</row>
    <row r="4" spans="1:115" s="2" customFormat="1" ht="18" customHeight="1" thickBot="1">
      <c r="A4" s="231"/>
      <c r="B4" s="233"/>
      <c r="C4" s="137" t="s">
        <v>18</v>
      </c>
      <c r="D4" s="138" t="s">
        <v>19</v>
      </c>
      <c r="E4" s="139" t="s">
        <v>15</v>
      </c>
      <c r="F4" s="140" t="s">
        <v>0</v>
      </c>
      <c r="G4" s="141" t="s">
        <v>1</v>
      </c>
      <c r="H4" s="142" t="s">
        <v>15</v>
      </c>
      <c r="I4" s="143" t="s">
        <v>20</v>
      </c>
      <c r="J4" s="144" t="s">
        <v>21</v>
      </c>
      <c r="K4" s="144" t="s">
        <v>22</v>
      </c>
      <c r="L4" s="144" t="s">
        <v>23</v>
      </c>
      <c r="M4" s="144" t="s">
        <v>24</v>
      </c>
      <c r="N4" s="145" t="s">
        <v>25</v>
      </c>
      <c r="O4" s="146" t="s">
        <v>20</v>
      </c>
      <c r="P4" s="147" t="s">
        <v>20</v>
      </c>
      <c r="Q4" s="144" t="s">
        <v>21</v>
      </c>
      <c r="R4" s="144" t="s">
        <v>22</v>
      </c>
      <c r="S4" s="144" t="s">
        <v>23</v>
      </c>
      <c r="T4" s="144" t="s">
        <v>24</v>
      </c>
      <c r="U4" s="148" t="s">
        <v>25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</row>
    <row r="5" spans="1:115" ht="18" customHeight="1">
      <c r="A5" s="13">
        <v>2000</v>
      </c>
      <c r="B5" s="14" t="s">
        <v>2</v>
      </c>
      <c r="C5" s="97">
        <v>2646787576</v>
      </c>
      <c r="D5" s="98">
        <f t="shared" ref="D5:D16" si="0">+N5</f>
        <v>100302357</v>
      </c>
      <c r="E5" s="99">
        <f t="shared" ref="E5:E16" si="1">+U5</f>
        <v>232502275</v>
      </c>
      <c r="F5" s="100">
        <v>22499137</v>
      </c>
      <c r="G5" s="98">
        <v>811639</v>
      </c>
      <c r="H5" s="100">
        <v>1954968</v>
      </c>
      <c r="I5" s="101">
        <v>12249149</v>
      </c>
      <c r="J5" s="98">
        <v>3747372</v>
      </c>
      <c r="K5" s="100">
        <v>5826372</v>
      </c>
      <c r="L5" s="98">
        <f>43069619+45969</f>
        <v>43115588</v>
      </c>
      <c r="M5" s="98">
        <v>35363876</v>
      </c>
      <c r="N5" s="102">
        <f t="shared" ref="N5:N16" si="2">SUM(I5:M5)</f>
        <v>100302357</v>
      </c>
      <c r="O5" s="103">
        <v>485851029</v>
      </c>
      <c r="P5" s="104">
        <v>52848604</v>
      </c>
      <c r="Q5" s="98">
        <v>8975547</v>
      </c>
      <c r="R5" s="98">
        <v>5259202</v>
      </c>
      <c r="S5" s="98">
        <f>76661738-460263</f>
        <v>76201475</v>
      </c>
      <c r="T5" s="98">
        <v>89217447</v>
      </c>
      <c r="U5" s="99">
        <f t="shared" ref="U5:U16" si="3">SUM(P5:T5)</f>
        <v>232502275</v>
      </c>
    </row>
    <row r="6" spans="1:115" ht="18" customHeight="1">
      <c r="A6" s="13">
        <v>2000</v>
      </c>
      <c r="B6" s="14" t="s">
        <v>3</v>
      </c>
      <c r="C6" s="97">
        <v>2506396124</v>
      </c>
      <c r="D6" s="98">
        <f t="shared" si="0"/>
        <v>94223862</v>
      </c>
      <c r="E6" s="99">
        <f t="shared" si="1"/>
        <v>219745702</v>
      </c>
      <c r="F6" s="100">
        <v>20996585</v>
      </c>
      <c r="G6" s="98">
        <v>760325</v>
      </c>
      <c r="H6" s="100">
        <v>1825798</v>
      </c>
      <c r="I6" s="101">
        <v>11573882</v>
      </c>
      <c r="J6" s="98">
        <v>4066400</v>
      </c>
      <c r="K6" s="100">
        <v>8606335</v>
      </c>
      <c r="L6" s="98">
        <f>38059313-417947</f>
        <v>37641366</v>
      </c>
      <c r="M6" s="98">
        <v>32335879</v>
      </c>
      <c r="N6" s="102">
        <f t="shared" si="2"/>
        <v>94223862</v>
      </c>
      <c r="O6" s="103">
        <v>458885688</v>
      </c>
      <c r="P6" s="104">
        <v>49785076</v>
      </c>
      <c r="Q6" s="98">
        <v>9511410</v>
      </c>
      <c r="R6" s="98">
        <v>6965349</v>
      </c>
      <c r="S6" s="98">
        <f>71516781-692306</f>
        <v>70824475</v>
      </c>
      <c r="T6" s="98">
        <v>82659392</v>
      </c>
      <c r="U6" s="99">
        <f t="shared" si="3"/>
        <v>219745702</v>
      </c>
    </row>
    <row r="7" spans="1:115" ht="18" customHeight="1">
      <c r="A7" s="13">
        <v>2000</v>
      </c>
      <c r="B7" s="14" t="s">
        <v>4</v>
      </c>
      <c r="C7" s="97">
        <v>2683491012</v>
      </c>
      <c r="D7" s="98">
        <f t="shared" si="0"/>
        <v>100804704</v>
      </c>
      <c r="E7" s="99">
        <f t="shared" si="1"/>
        <v>235062061</v>
      </c>
      <c r="F7" s="100">
        <v>22433384</v>
      </c>
      <c r="G7" s="98">
        <v>818257</v>
      </c>
      <c r="H7" s="100">
        <v>1951554</v>
      </c>
      <c r="I7" s="101">
        <v>12495586</v>
      </c>
      <c r="J7" s="98">
        <v>4742220</v>
      </c>
      <c r="K7" s="100">
        <v>10592621</v>
      </c>
      <c r="L7" s="98">
        <f>37514135-869133</f>
        <v>36645002</v>
      </c>
      <c r="M7" s="98">
        <v>36329275</v>
      </c>
      <c r="N7" s="102">
        <f t="shared" si="2"/>
        <v>100804704</v>
      </c>
      <c r="O7" s="103">
        <v>496552264</v>
      </c>
      <c r="P7" s="104">
        <v>53973094</v>
      </c>
      <c r="Q7" s="98">
        <v>9757477</v>
      </c>
      <c r="R7" s="98">
        <v>7740611</v>
      </c>
      <c r="S7" s="98">
        <f>72623480-39718</f>
        <v>72583762</v>
      </c>
      <c r="T7" s="98">
        <v>91007117</v>
      </c>
      <c r="U7" s="99">
        <f t="shared" si="3"/>
        <v>235062061</v>
      </c>
    </row>
    <row r="8" spans="1:115" ht="18" customHeight="1">
      <c r="A8" s="13">
        <v>2000</v>
      </c>
      <c r="B8" s="14" t="s">
        <v>5</v>
      </c>
      <c r="C8" s="97">
        <v>2670756843</v>
      </c>
      <c r="D8" s="98">
        <f t="shared" si="0"/>
        <v>97289760</v>
      </c>
      <c r="E8" s="99">
        <f t="shared" si="1"/>
        <v>233636693</v>
      </c>
      <c r="F8" s="100">
        <v>21992314</v>
      </c>
      <c r="G8" s="98">
        <v>791862</v>
      </c>
      <c r="H8" s="100">
        <v>1908113</v>
      </c>
      <c r="I8" s="101">
        <v>11478124</v>
      </c>
      <c r="J8" s="98">
        <v>4753715</v>
      </c>
      <c r="K8" s="100">
        <v>11561922</v>
      </c>
      <c r="L8" s="98">
        <f>32091584+1306743</f>
        <v>33398327</v>
      </c>
      <c r="M8" s="98">
        <v>36097672</v>
      </c>
      <c r="N8" s="102">
        <f t="shared" si="2"/>
        <v>97289760</v>
      </c>
      <c r="O8" s="103">
        <v>447586897</v>
      </c>
      <c r="P8" s="104">
        <v>48645104</v>
      </c>
      <c r="Q8" s="98">
        <v>9495816</v>
      </c>
      <c r="R8" s="98">
        <v>8210748</v>
      </c>
      <c r="S8" s="98">
        <f>72883332+1273733</f>
        <v>74157065</v>
      </c>
      <c r="T8" s="98">
        <v>93127960</v>
      </c>
      <c r="U8" s="99">
        <f t="shared" si="3"/>
        <v>233636693</v>
      </c>
    </row>
    <row r="9" spans="1:115" ht="18" customHeight="1">
      <c r="A9" s="13">
        <v>2000</v>
      </c>
      <c r="B9" s="14" t="s">
        <v>6</v>
      </c>
      <c r="C9" s="97">
        <v>2733106657</v>
      </c>
      <c r="D9" s="98">
        <f t="shared" si="0"/>
        <v>98657985</v>
      </c>
      <c r="E9" s="99">
        <f t="shared" si="1"/>
        <v>238509790</v>
      </c>
      <c r="F9" s="100">
        <v>22816259</v>
      </c>
      <c r="G9" s="98">
        <v>818257</v>
      </c>
      <c r="H9" s="100">
        <v>1971716</v>
      </c>
      <c r="I9" s="101">
        <v>12301280</v>
      </c>
      <c r="J9" s="98">
        <v>5095426</v>
      </c>
      <c r="K9" s="100">
        <v>14267658</v>
      </c>
      <c r="L9" s="98">
        <f>31628827-1284913</f>
        <v>30343914</v>
      </c>
      <c r="M9" s="98">
        <v>36649707</v>
      </c>
      <c r="N9" s="102">
        <f t="shared" si="2"/>
        <v>98657985</v>
      </c>
      <c r="O9" s="103">
        <v>483357397</v>
      </c>
      <c r="P9" s="104">
        <v>52508223</v>
      </c>
      <c r="Q9" s="98">
        <v>10060432</v>
      </c>
      <c r="R9" s="98">
        <v>8975229</v>
      </c>
      <c r="S9" s="98">
        <f>72022595-1239873</f>
        <v>70782722</v>
      </c>
      <c r="T9" s="98">
        <v>96183184</v>
      </c>
      <c r="U9" s="99">
        <f t="shared" si="3"/>
        <v>238509790</v>
      </c>
    </row>
    <row r="10" spans="1:115" ht="18" customHeight="1">
      <c r="A10" s="13">
        <v>2000</v>
      </c>
      <c r="B10" s="14" t="s">
        <v>7</v>
      </c>
      <c r="C10" s="97">
        <v>2607979439</v>
      </c>
      <c r="D10" s="98">
        <f t="shared" si="0"/>
        <v>92650472</v>
      </c>
      <c r="E10" s="99">
        <f t="shared" si="1"/>
        <v>226676307</v>
      </c>
      <c r="F10" s="100">
        <v>22168559</v>
      </c>
      <c r="G10" s="98">
        <v>788649</v>
      </c>
      <c r="H10" s="100">
        <v>1908112</v>
      </c>
      <c r="I10" s="101">
        <v>11741263</v>
      </c>
      <c r="J10" s="98">
        <v>5576765</v>
      </c>
      <c r="K10" s="100">
        <v>15343846</v>
      </c>
      <c r="L10" s="98">
        <f>25116086-161106</f>
        <v>24954980</v>
      </c>
      <c r="M10" s="98">
        <v>35033618</v>
      </c>
      <c r="N10" s="102">
        <f t="shared" si="2"/>
        <v>92650472</v>
      </c>
      <c r="O10" s="103">
        <v>457257918</v>
      </c>
      <c r="P10" s="104">
        <v>49722239</v>
      </c>
      <c r="Q10" s="98">
        <v>9373414</v>
      </c>
      <c r="R10" s="98">
        <v>8651884</v>
      </c>
      <c r="S10" s="98">
        <f>67147068-741031</f>
        <v>66406037</v>
      </c>
      <c r="T10" s="98">
        <v>92522733</v>
      </c>
      <c r="U10" s="99">
        <f t="shared" si="3"/>
        <v>226676307</v>
      </c>
    </row>
    <row r="11" spans="1:115" ht="18" customHeight="1">
      <c r="A11" s="13">
        <v>2000</v>
      </c>
      <c r="B11" s="14" t="s">
        <v>8</v>
      </c>
      <c r="C11" s="97">
        <v>2720882506</v>
      </c>
      <c r="D11" s="98">
        <f t="shared" si="0"/>
        <v>96692664</v>
      </c>
      <c r="E11" s="99">
        <f t="shared" si="1"/>
        <v>236448333</v>
      </c>
      <c r="F11" s="100">
        <v>22967220</v>
      </c>
      <c r="G11" s="98">
        <v>816057</v>
      </c>
      <c r="H11" s="100">
        <v>1971716</v>
      </c>
      <c r="I11" s="101">
        <v>12079962</v>
      </c>
      <c r="J11" s="98">
        <v>4639362</v>
      </c>
      <c r="K11" s="100">
        <v>16246127</v>
      </c>
      <c r="L11" s="98">
        <f>24862972+583920</f>
        <v>25446892</v>
      </c>
      <c r="M11" s="98">
        <v>38280321</v>
      </c>
      <c r="N11" s="102">
        <f t="shared" si="2"/>
        <v>96692664</v>
      </c>
      <c r="O11" s="103">
        <v>459659251</v>
      </c>
      <c r="P11" s="104">
        <v>49922975</v>
      </c>
      <c r="Q11" s="98">
        <v>8699287</v>
      </c>
      <c r="R11" s="98">
        <v>8672507</v>
      </c>
      <c r="S11" s="98">
        <f>68784235+880922</f>
        <v>69665157</v>
      </c>
      <c r="T11" s="98">
        <v>99488407</v>
      </c>
      <c r="U11" s="99">
        <f t="shared" si="3"/>
        <v>236448333</v>
      </c>
    </row>
    <row r="12" spans="1:115" ht="18" customHeight="1">
      <c r="A12" s="13">
        <v>2000</v>
      </c>
      <c r="B12" s="14" t="s">
        <v>9</v>
      </c>
      <c r="C12" s="97">
        <v>2623187623</v>
      </c>
      <c r="D12" s="98">
        <f t="shared" si="0"/>
        <v>94064185</v>
      </c>
      <c r="E12" s="99">
        <f t="shared" si="1"/>
        <v>227971841</v>
      </c>
      <c r="F12" s="100">
        <v>22289404</v>
      </c>
      <c r="G12" s="98">
        <v>793410</v>
      </c>
      <c r="H12" s="100">
        <v>1920502</v>
      </c>
      <c r="I12" s="101">
        <v>12678574</v>
      </c>
      <c r="J12" s="98">
        <v>5314876</v>
      </c>
      <c r="K12" s="100">
        <v>11588702</v>
      </c>
      <c r="L12" s="98">
        <f>26119791-367682</f>
        <v>25752109</v>
      </c>
      <c r="M12" s="98">
        <v>38729924</v>
      </c>
      <c r="N12" s="102">
        <f t="shared" si="2"/>
        <v>94064185</v>
      </c>
      <c r="O12" s="103">
        <v>481070006</v>
      </c>
      <c r="P12" s="104">
        <v>52277551</v>
      </c>
      <c r="Q12" s="98">
        <v>10341042</v>
      </c>
      <c r="R12" s="98">
        <v>8375730</v>
      </c>
      <c r="S12" s="98">
        <f>61893411-540858</f>
        <v>61352553</v>
      </c>
      <c r="T12" s="98">
        <v>95624965</v>
      </c>
      <c r="U12" s="99">
        <f t="shared" si="3"/>
        <v>227971841</v>
      </c>
    </row>
    <row r="13" spans="1:115" ht="18" customHeight="1">
      <c r="A13" s="13">
        <v>2000</v>
      </c>
      <c r="B13" s="14" t="s">
        <v>10</v>
      </c>
      <c r="C13" s="97">
        <v>2541213451</v>
      </c>
      <c r="D13" s="98">
        <f t="shared" si="0"/>
        <v>92631237</v>
      </c>
      <c r="E13" s="99">
        <f t="shared" si="1"/>
        <v>221932342</v>
      </c>
      <c r="F13" s="100">
        <v>22070358</v>
      </c>
      <c r="G13" s="98">
        <v>790856</v>
      </c>
      <c r="H13" s="100">
        <v>1908112</v>
      </c>
      <c r="I13" s="101">
        <v>12026607</v>
      </c>
      <c r="J13" s="98">
        <v>4541741</v>
      </c>
      <c r="K13" s="100">
        <v>8780969</v>
      </c>
      <c r="L13" s="98">
        <f>28777749+969512</f>
        <v>29747261</v>
      </c>
      <c r="M13" s="98">
        <v>37534659</v>
      </c>
      <c r="N13" s="102">
        <f t="shared" si="2"/>
        <v>92631237</v>
      </c>
      <c r="O13" s="103">
        <v>474003223</v>
      </c>
      <c r="P13" s="104">
        <v>51574242</v>
      </c>
      <c r="Q13" s="98">
        <v>9375680</v>
      </c>
      <c r="R13" s="98">
        <v>7098268</v>
      </c>
      <c r="S13" s="98">
        <f>63283447+1277002</f>
        <v>64560449</v>
      </c>
      <c r="T13" s="98">
        <v>89323703</v>
      </c>
      <c r="U13" s="99">
        <f t="shared" si="3"/>
        <v>221932342</v>
      </c>
    </row>
    <row r="14" spans="1:115" ht="18" customHeight="1">
      <c r="A14" s="13">
        <v>2000</v>
      </c>
      <c r="B14" s="14" t="s">
        <v>11</v>
      </c>
      <c r="C14" s="97">
        <v>2631418652</v>
      </c>
      <c r="D14" s="98">
        <f t="shared" si="0"/>
        <v>97474643</v>
      </c>
      <c r="E14" s="99">
        <f t="shared" si="1"/>
        <v>231297117</v>
      </c>
      <c r="F14" s="100">
        <v>22737167</v>
      </c>
      <c r="G14" s="98">
        <v>818257</v>
      </c>
      <c r="H14" s="100">
        <v>1971716</v>
      </c>
      <c r="I14" s="101">
        <v>12959471</v>
      </c>
      <c r="J14" s="98">
        <v>5068332</v>
      </c>
      <c r="K14" s="100">
        <v>8426305</v>
      </c>
      <c r="L14" s="98">
        <f>31537572-417260</f>
        <v>31120312</v>
      </c>
      <c r="M14" s="98">
        <v>39900223</v>
      </c>
      <c r="N14" s="102">
        <f t="shared" si="2"/>
        <v>97474643</v>
      </c>
      <c r="O14" s="103">
        <v>506394026</v>
      </c>
      <c r="P14" s="104">
        <v>55088980</v>
      </c>
      <c r="Q14" s="98">
        <v>9534435</v>
      </c>
      <c r="R14" s="98">
        <f>6934973</f>
        <v>6934973</v>
      </c>
      <c r="S14" s="98">
        <f>65074517-639797</f>
        <v>64434720</v>
      </c>
      <c r="T14" s="98">
        <v>95304009</v>
      </c>
      <c r="U14" s="99">
        <f t="shared" si="3"/>
        <v>231297117</v>
      </c>
    </row>
    <row r="15" spans="1:115" ht="18" customHeight="1">
      <c r="A15" s="13">
        <v>2000</v>
      </c>
      <c r="B15" s="14" t="s">
        <v>12</v>
      </c>
      <c r="C15" s="97">
        <v>2540889606</v>
      </c>
      <c r="D15" s="98">
        <f t="shared" si="0"/>
        <v>96381913</v>
      </c>
      <c r="E15" s="99">
        <f t="shared" si="1"/>
        <v>224552298</v>
      </c>
      <c r="F15" s="100">
        <v>21725649</v>
      </c>
      <c r="G15" s="98">
        <v>791861</v>
      </c>
      <c r="H15" s="100">
        <v>1908112</v>
      </c>
      <c r="I15" s="101">
        <v>12659708</v>
      </c>
      <c r="J15" s="98">
        <v>6863902</v>
      </c>
      <c r="K15" s="100">
        <v>8013869</v>
      </c>
      <c r="L15" s="98">
        <f>31242135-748780</f>
        <v>30493355</v>
      </c>
      <c r="M15" s="98">
        <v>38351079</v>
      </c>
      <c r="N15" s="102">
        <f t="shared" si="2"/>
        <v>96381913</v>
      </c>
      <c r="O15" s="103">
        <v>481839426</v>
      </c>
      <c r="P15" s="104">
        <v>52510011</v>
      </c>
      <c r="Q15" s="98">
        <v>9832713</v>
      </c>
      <c r="R15" s="98">
        <v>5729388</v>
      </c>
      <c r="S15" s="98">
        <f>62815928-570760</f>
        <v>62245168</v>
      </c>
      <c r="T15" s="98">
        <v>94235018</v>
      </c>
      <c r="U15" s="99">
        <f t="shared" si="3"/>
        <v>224552298</v>
      </c>
    </row>
    <row r="16" spans="1:115" s="6" customFormat="1" ht="18" customHeight="1" thickBot="1">
      <c r="A16" s="13">
        <v>2000</v>
      </c>
      <c r="B16" s="14" t="s">
        <v>13</v>
      </c>
      <c r="C16" s="97">
        <v>2670445950</v>
      </c>
      <c r="D16" s="98">
        <f t="shared" si="0"/>
        <v>101380678</v>
      </c>
      <c r="E16" s="99">
        <f t="shared" si="1"/>
        <v>235405559</v>
      </c>
      <c r="F16" s="100">
        <v>22433749</v>
      </c>
      <c r="G16" s="98">
        <v>811223</v>
      </c>
      <c r="H16" s="100">
        <v>1968495</v>
      </c>
      <c r="I16" s="101">
        <v>12251157</v>
      </c>
      <c r="J16" s="98">
        <v>6007803</v>
      </c>
      <c r="K16" s="100">
        <v>6600498</v>
      </c>
      <c r="L16" s="98">
        <f>33905038+1527539</f>
        <v>35432577</v>
      </c>
      <c r="M16" s="98">
        <v>41088643</v>
      </c>
      <c r="N16" s="102">
        <f t="shared" si="2"/>
        <v>101380678</v>
      </c>
      <c r="O16" s="103">
        <v>463911607</v>
      </c>
      <c r="P16" s="104">
        <v>50506559</v>
      </c>
      <c r="Q16" s="98">
        <v>10034512</v>
      </c>
      <c r="R16" s="98">
        <v>4589789</v>
      </c>
      <c r="S16" s="98">
        <f>67118639+1007360</f>
        <v>68125999</v>
      </c>
      <c r="T16" s="98">
        <v>102148700</v>
      </c>
      <c r="U16" s="99">
        <f t="shared" si="3"/>
        <v>235405559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</row>
    <row r="17" spans="1:115" s="24" customFormat="1" ht="18" customHeight="1" thickTop="1" thickBot="1">
      <c r="A17" s="22">
        <v>2000</v>
      </c>
      <c r="B17" s="23" t="s">
        <v>14</v>
      </c>
      <c r="C17" s="105">
        <f t="shared" ref="C17:U17" si="4">SUM(C5:C16)</f>
        <v>31576555439</v>
      </c>
      <c r="D17" s="106">
        <f t="shared" si="4"/>
        <v>1162554460</v>
      </c>
      <c r="E17" s="107">
        <f t="shared" si="4"/>
        <v>2763740318</v>
      </c>
      <c r="F17" s="108">
        <f t="shared" si="4"/>
        <v>267129785</v>
      </c>
      <c r="G17" s="106">
        <f t="shared" si="4"/>
        <v>9610653</v>
      </c>
      <c r="H17" s="108">
        <f t="shared" si="4"/>
        <v>23168914</v>
      </c>
      <c r="I17" s="109">
        <f t="shared" si="4"/>
        <v>146494763</v>
      </c>
      <c r="J17" s="106">
        <f t="shared" si="4"/>
        <v>60417914</v>
      </c>
      <c r="K17" s="108">
        <f t="shared" si="4"/>
        <v>125855224</v>
      </c>
      <c r="L17" s="106">
        <f t="shared" si="4"/>
        <v>384091683</v>
      </c>
      <c r="M17" s="106">
        <f t="shared" si="4"/>
        <v>445694876</v>
      </c>
      <c r="N17" s="110">
        <f t="shared" si="4"/>
        <v>1162554460</v>
      </c>
      <c r="O17" s="111">
        <f t="shared" si="4"/>
        <v>5696368732</v>
      </c>
      <c r="P17" s="112">
        <f t="shared" si="4"/>
        <v>619362658</v>
      </c>
      <c r="Q17" s="106">
        <f t="shared" si="4"/>
        <v>114991765</v>
      </c>
      <c r="R17" s="106">
        <f t="shared" si="4"/>
        <v>87203678</v>
      </c>
      <c r="S17" s="106">
        <f t="shared" si="4"/>
        <v>821339582</v>
      </c>
      <c r="T17" s="106">
        <f t="shared" si="4"/>
        <v>1120842635</v>
      </c>
      <c r="U17" s="107">
        <f t="shared" si="4"/>
        <v>2763740318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ht="18" customHeight="1" thickTop="1">
      <c r="A18" s="13">
        <v>2001</v>
      </c>
      <c r="B18" s="14" t="s">
        <v>2</v>
      </c>
      <c r="C18" s="97">
        <v>2723563897</v>
      </c>
      <c r="D18" s="98">
        <f t="shared" ref="D18:D29" si="5">+N18</f>
        <v>103919042</v>
      </c>
      <c r="E18" s="99">
        <f t="shared" ref="E18:E29" si="6">+U18</f>
        <v>240414062</v>
      </c>
      <c r="F18" s="100">
        <v>22491017</v>
      </c>
      <c r="G18" s="98">
        <v>818258</v>
      </c>
      <c r="H18" s="100">
        <v>1971716</v>
      </c>
      <c r="I18" s="101">
        <v>12298179</v>
      </c>
      <c r="J18" s="98">
        <v>4316869</v>
      </c>
      <c r="K18" s="100">
        <v>8331608</v>
      </c>
      <c r="L18" s="98">
        <f>37927639-140364</f>
        <v>37787275</v>
      </c>
      <c r="M18" s="98">
        <v>41185111</v>
      </c>
      <c r="N18" s="102">
        <f t="shared" ref="N18:N29" si="7">SUM(I18:M18)</f>
        <v>103919042</v>
      </c>
      <c r="O18" s="103">
        <v>484795864</v>
      </c>
      <c r="P18" s="104">
        <v>52865603</v>
      </c>
      <c r="Q18" s="98">
        <v>8803773</v>
      </c>
      <c r="R18" s="98">
        <v>6503972</v>
      </c>
      <c r="S18" s="98">
        <f>68734996-121838</f>
        <v>68613158</v>
      </c>
      <c r="T18" s="98">
        <v>103627556</v>
      </c>
      <c r="U18" s="99">
        <f t="shared" ref="U18:U29" si="8">SUM(P18:T18)</f>
        <v>240414062</v>
      </c>
    </row>
    <row r="19" spans="1:115" ht="18" customHeight="1">
      <c r="A19" s="13">
        <v>2001</v>
      </c>
      <c r="B19" s="14" t="s">
        <v>3</v>
      </c>
      <c r="C19" s="97">
        <v>2511675750</v>
      </c>
      <c r="D19" s="98">
        <f t="shared" si="5"/>
        <v>94749985</v>
      </c>
      <c r="E19" s="99">
        <f t="shared" si="6"/>
        <v>221104199</v>
      </c>
      <c r="F19" s="100">
        <v>20320127</v>
      </c>
      <c r="G19" s="98">
        <v>739071</v>
      </c>
      <c r="H19" s="100">
        <v>1780904</v>
      </c>
      <c r="I19" s="101">
        <v>11264195</v>
      </c>
      <c r="J19" s="98">
        <v>3697624</v>
      </c>
      <c r="K19" s="100">
        <v>7928342</v>
      </c>
      <c r="L19" s="98">
        <f>33877443-327595</f>
        <v>33549848</v>
      </c>
      <c r="M19" s="98">
        <v>38309976</v>
      </c>
      <c r="N19" s="102">
        <f t="shared" si="7"/>
        <v>94749985</v>
      </c>
      <c r="O19" s="103">
        <v>441065974</v>
      </c>
      <c r="P19" s="104">
        <v>47930528</v>
      </c>
      <c r="Q19" s="98">
        <v>8404055</v>
      </c>
      <c r="R19" s="98">
        <v>6163252</v>
      </c>
      <c r="S19" s="98">
        <f>62182989-63633</f>
        <v>62119356</v>
      </c>
      <c r="T19" s="98">
        <v>96487008</v>
      </c>
      <c r="U19" s="99">
        <f t="shared" si="8"/>
        <v>221104199</v>
      </c>
    </row>
    <row r="20" spans="1:115" ht="18" customHeight="1">
      <c r="A20" s="13">
        <v>2001</v>
      </c>
      <c r="B20" s="14" t="s">
        <v>4</v>
      </c>
      <c r="C20" s="97">
        <v>2799867866</v>
      </c>
      <c r="D20" s="98">
        <f t="shared" si="5"/>
        <v>103794188</v>
      </c>
      <c r="E20" s="99">
        <f t="shared" si="6"/>
        <v>244966370</v>
      </c>
      <c r="F20" s="100">
        <v>22517775</v>
      </c>
      <c r="G20" s="98">
        <v>818258</v>
      </c>
      <c r="H20" s="100">
        <v>1971715</v>
      </c>
      <c r="I20" s="101">
        <v>12246341</v>
      </c>
      <c r="J20" s="98">
        <v>5012962</v>
      </c>
      <c r="K20" s="100">
        <v>11585687</v>
      </c>
      <c r="L20" s="98">
        <f>31205213+272751</f>
        <v>31477964</v>
      </c>
      <c r="M20" s="98">
        <v>43471234</v>
      </c>
      <c r="N20" s="102">
        <f t="shared" si="7"/>
        <v>103794188</v>
      </c>
      <c r="O20" s="103">
        <v>487384571</v>
      </c>
      <c r="P20" s="104">
        <v>52662828</v>
      </c>
      <c r="Q20" s="98">
        <v>9872964</v>
      </c>
      <c r="R20" s="98">
        <v>7710259</v>
      </c>
      <c r="S20" s="98">
        <f>66413320+797735</f>
        <v>67211055</v>
      </c>
      <c r="T20" s="98">
        <v>107509264</v>
      </c>
      <c r="U20" s="99">
        <f t="shared" si="8"/>
        <v>244966370</v>
      </c>
    </row>
    <row r="21" spans="1:115" ht="18" customHeight="1">
      <c r="A21" s="13">
        <v>2001</v>
      </c>
      <c r="B21" s="14" t="s">
        <v>5</v>
      </c>
      <c r="C21" s="97">
        <v>2780117645</v>
      </c>
      <c r="D21" s="98">
        <f t="shared" si="5"/>
        <v>101782525</v>
      </c>
      <c r="E21" s="99">
        <f t="shared" si="6"/>
        <v>243250043</v>
      </c>
      <c r="F21" s="100">
        <v>21870632</v>
      </c>
      <c r="G21" s="98">
        <v>791861</v>
      </c>
      <c r="H21" s="100">
        <v>1908112</v>
      </c>
      <c r="I21" s="101">
        <v>11924710</v>
      </c>
      <c r="J21" s="98">
        <v>5410293</v>
      </c>
      <c r="K21" s="100">
        <v>12201615</v>
      </c>
      <c r="L21" s="98">
        <f>30026798+6263</f>
        <v>30033061</v>
      </c>
      <c r="M21" s="98">
        <v>42212846</v>
      </c>
      <c r="N21" s="102">
        <f t="shared" si="7"/>
        <v>101782525</v>
      </c>
      <c r="O21" s="103">
        <v>468780855</v>
      </c>
      <c r="P21" s="104">
        <v>50498457</v>
      </c>
      <c r="Q21" s="98">
        <v>9261927</v>
      </c>
      <c r="R21" s="98">
        <v>8300311</v>
      </c>
      <c r="S21" s="98">
        <f>68805504-1045193</f>
        <v>67760311</v>
      </c>
      <c r="T21" s="98">
        <v>107429037</v>
      </c>
      <c r="U21" s="99">
        <f t="shared" si="8"/>
        <v>243250043</v>
      </c>
    </row>
    <row r="22" spans="1:115" ht="18" customHeight="1">
      <c r="A22" s="13">
        <v>2001</v>
      </c>
      <c r="B22" s="14" t="s">
        <v>6</v>
      </c>
      <c r="C22" s="97">
        <v>2878139685</v>
      </c>
      <c r="D22" s="98">
        <f t="shared" si="5"/>
        <v>103366946</v>
      </c>
      <c r="E22" s="99">
        <f t="shared" si="6"/>
        <v>250084524</v>
      </c>
      <c r="F22" s="100">
        <v>22764203</v>
      </c>
      <c r="G22" s="98">
        <v>818257</v>
      </c>
      <c r="H22" s="100">
        <v>1971715</v>
      </c>
      <c r="I22" s="101">
        <v>12218001</v>
      </c>
      <c r="J22" s="98">
        <v>5988489</v>
      </c>
      <c r="K22" s="100">
        <v>14362741</v>
      </c>
      <c r="L22" s="98">
        <f>28191681-775537</f>
        <v>27416144</v>
      </c>
      <c r="M22" s="98">
        <v>43381571</v>
      </c>
      <c r="N22" s="102">
        <f t="shared" si="7"/>
        <v>103366946</v>
      </c>
      <c r="O22" s="103">
        <v>485672972</v>
      </c>
      <c r="P22" s="104">
        <v>52491156</v>
      </c>
      <c r="Q22" s="98">
        <v>9926300</v>
      </c>
      <c r="R22" s="98">
        <v>9104057</v>
      </c>
      <c r="S22" s="98">
        <f>69306541-84071</f>
        <v>69222470</v>
      </c>
      <c r="T22" s="98">
        <v>109340541</v>
      </c>
      <c r="U22" s="99">
        <f t="shared" si="8"/>
        <v>250084524</v>
      </c>
    </row>
    <row r="23" spans="1:115" ht="18" customHeight="1">
      <c r="A23" s="13">
        <v>2001</v>
      </c>
      <c r="B23" s="14" t="s">
        <v>7</v>
      </c>
      <c r="C23" s="97">
        <v>2772521583</v>
      </c>
      <c r="D23" s="98">
        <f t="shared" si="5"/>
        <v>98823285</v>
      </c>
      <c r="E23" s="99">
        <f t="shared" si="6"/>
        <v>240372001</v>
      </c>
      <c r="F23" s="100">
        <v>22075052</v>
      </c>
      <c r="G23" s="98">
        <v>774217</v>
      </c>
      <c r="H23" s="100">
        <v>1908113</v>
      </c>
      <c r="I23" s="101">
        <v>11368691</v>
      </c>
      <c r="J23" s="98">
        <v>5242005</v>
      </c>
      <c r="K23" s="100">
        <v>13866512</v>
      </c>
      <c r="L23" s="98">
        <f>25562601-71455</f>
        <v>25491146</v>
      </c>
      <c r="M23" s="98">
        <v>42854931</v>
      </c>
      <c r="N23" s="102">
        <f t="shared" si="7"/>
        <v>98823285</v>
      </c>
      <c r="O23" s="103">
        <v>445020047</v>
      </c>
      <c r="P23" s="104">
        <v>48142953</v>
      </c>
      <c r="Q23" s="98">
        <v>8972971</v>
      </c>
      <c r="R23" s="98">
        <v>8912119</v>
      </c>
      <c r="S23" s="98">
        <f>67611628+197664</f>
        <v>67809292</v>
      </c>
      <c r="T23" s="98">
        <v>106534666</v>
      </c>
      <c r="U23" s="99">
        <f t="shared" si="8"/>
        <v>240372001</v>
      </c>
    </row>
    <row r="24" spans="1:115" ht="18" customHeight="1">
      <c r="A24" s="13">
        <v>2001</v>
      </c>
      <c r="B24" s="14" t="s">
        <v>8</v>
      </c>
      <c r="C24" s="97">
        <v>2809312243</v>
      </c>
      <c r="D24" s="98">
        <f t="shared" si="5"/>
        <v>100298655</v>
      </c>
      <c r="E24" s="99">
        <f t="shared" si="6"/>
        <v>243473541</v>
      </c>
      <c r="F24" s="100">
        <v>22034464</v>
      </c>
      <c r="G24" s="98">
        <v>785682</v>
      </c>
      <c r="H24" s="100">
        <v>1897216</v>
      </c>
      <c r="I24" s="101">
        <v>12385168</v>
      </c>
      <c r="J24" s="98">
        <v>5521566</v>
      </c>
      <c r="K24" s="100">
        <v>13641829</v>
      </c>
      <c r="L24" s="98">
        <f>24837367-26266</f>
        <v>24811101</v>
      </c>
      <c r="M24" s="98">
        <v>43938991</v>
      </c>
      <c r="N24" s="102">
        <f t="shared" si="7"/>
        <v>100298655</v>
      </c>
      <c r="O24" s="103">
        <v>471246415</v>
      </c>
      <c r="P24" s="104">
        <v>50915017</v>
      </c>
      <c r="Q24" s="98">
        <v>9227183</v>
      </c>
      <c r="R24" s="98">
        <v>8867828</v>
      </c>
      <c r="S24" s="98">
        <f>65466546-586246</f>
        <v>64880300</v>
      </c>
      <c r="T24" s="98">
        <v>109583213</v>
      </c>
      <c r="U24" s="99">
        <f t="shared" si="8"/>
        <v>243473541</v>
      </c>
    </row>
    <row r="25" spans="1:115" ht="18" customHeight="1">
      <c r="A25" s="13">
        <v>2001</v>
      </c>
      <c r="B25" s="14" t="s">
        <v>9</v>
      </c>
      <c r="C25" s="97">
        <v>2802039154</v>
      </c>
      <c r="D25" s="98">
        <f t="shared" si="5"/>
        <v>100422591</v>
      </c>
      <c r="E25" s="99">
        <f t="shared" si="6"/>
        <v>243711539</v>
      </c>
      <c r="F25" s="100">
        <v>22760309</v>
      </c>
      <c r="G25" s="98">
        <v>818257</v>
      </c>
      <c r="H25" s="100">
        <v>1971716</v>
      </c>
      <c r="I25" s="101">
        <v>12620118</v>
      </c>
      <c r="J25" s="98">
        <v>5637718</v>
      </c>
      <c r="K25" s="100">
        <v>13683877</v>
      </c>
      <c r="L25" s="98">
        <f>25276313+59657</f>
        <v>25335970</v>
      </c>
      <c r="M25" s="98">
        <v>43144908</v>
      </c>
      <c r="N25" s="102">
        <f t="shared" si="7"/>
        <v>100422591</v>
      </c>
      <c r="O25" s="103">
        <v>485791150</v>
      </c>
      <c r="P25" s="104">
        <v>52645902</v>
      </c>
      <c r="Q25" s="98">
        <v>9511687</v>
      </c>
      <c r="R25" s="98">
        <v>9088660</v>
      </c>
      <c r="S25" s="98">
        <f>63884057-453872</f>
        <v>63430185</v>
      </c>
      <c r="T25" s="98">
        <v>109035105</v>
      </c>
      <c r="U25" s="99">
        <f t="shared" si="8"/>
        <v>243711539</v>
      </c>
    </row>
    <row r="26" spans="1:115" ht="18" customHeight="1">
      <c r="A26" s="13">
        <v>2001</v>
      </c>
      <c r="B26" s="14" t="s">
        <v>10</v>
      </c>
      <c r="C26" s="97">
        <v>2697375684</v>
      </c>
      <c r="D26" s="98">
        <f t="shared" si="5"/>
        <v>97724440</v>
      </c>
      <c r="E26" s="99">
        <f t="shared" si="6"/>
        <v>235977067</v>
      </c>
      <c r="F26" s="100">
        <v>21720561</v>
      </c>
      <c r="G26" s="98">
        <v>773484</v>
      </c>
      <c r="H26" s="100">
        <v>1893972</v>
      </c>
      <c r="I26" s="101">
        <v>11706671</v>
      </c>
      <c r="J26" s="98">
        <v>5063713</v>
      </c>
      <c r="K26" s="100">
        <v>12477823</v>
      </c>
      <c r="L26" s="98">
        <f>24901391+1596099</f>
        <v>26497490</v>
      </c>
      <c r="M26" s="98">
        <v>41978743</v>
      </c>
      <c r="N26" s="102">
        <f t="shared" si="7"/>
        <v>97724440</v>
      </c>
      <c r="O26" s="103">
        <v>467815162</v>
      </c>
      <c r="P26" s="104">
        <v>50805453</v>
      </c>
      <c r="Q26" s="98">
        <v>9108287</v>
      </c>
      <c r="R26" s="98">
        <v>7726363</v>
      </c>
      <c r="S26" s="98">
        <f>62920211+1901287</f>
        <v>64821498</v>
      </c>
      <c r="T26" s="98">
        <v>103515466</v>
      </c>
      <c r="U26" s="99">
        <f t="shared" si="8"/>
        <v>235977067</v>
      </c>
    </row>
    <row r="27" spans="1:115" ht="18" customHeight="1">
      <c r="A27" s="13">
        <v>2001</v>
      </c>
      <c r="B27" s="14" t="s">
        <v>11</v>
      </c>
      <c r="C27" s="97">
        <v>2793375901</v>
      </c>
      <c r="D27" s="98">
        <f t="shared" si="5"/>
        <v>102928163</v>
      </c>
      <c r="E27" s="99">
        <f t="shared" si="6"/>
        <v>245298457</v>
      </c>
      <c r="F27" s="100">
        <v>22557785</v>
      </c>
      <c r="G27" s="98">
        <v>813924</v>
      </c>
      <c r="H27" s="100">
        <v>1971715</v>
      </c>
      <c r="I27" s="101">
        <v>12653274</v>
      </c>
      <c r="J27" s="98">
        <v>5251938</v>
      </c>
      <c r="K27" s="100">
        <v>8125367</v>
      </c>
      <c r="L27" s="98">
        <f>33991304-1159129</f>
        <v>32832175</v>
      </c>
      <c r="M27" s="98">
        <v>44065409</v>
      </c>
      <c r="N27" s="102">
        <f t="shared" si="7"/>
        <v>102928163</v>
      </c>
      <c r="O27" s="103">
        <v>503294157</v>
      </c>
      <c r="P27" s="104">
        <v>54722986</v>
      </c>
      <c r="Q27" s="98">
        <v>9801447</v>
      </c>
      <c r="R27" s="98">
        <v>7038173</v>
      </c>
      <c r="S27" s="98">
        <f>67384532-686752</f>
        <v>66697780</v>
      </c>
      <c r="T27" s="98">
        <v>107038071</v>
      </c>
      <c r="U27" s="99">
        <f t="shared" si="8"/>
        <v>245298457</v>
      </c>
    </row>
    <row r="28" spans="1:115" ht="18" customHeight="1">
      <c r="A28" s="13">
        <v>2001</v>
      </c>
      <c r="B28" s="14" t="s">
        <v>12</v>
      </c>
      <c r="C28" s="97">
        <v>2705980782</v>
      </c>
      <c r="D28" s="98">
        <f t="shared" si="5"/>
        <v>101924857</v>
      </c>
      <c r="E28" s="99">
        <f t="shared" si="6"/>
        <v>238506233</v>
      </c>
      <c r="F28" s="100">
        <v>21695938</v>
      </c>
      <c r="G28" s="98">
        <v>780351</v>
      </c>
      <c r="H28" s="100">
        <v>1903668</v>
      </c>
      <c r="I28" s="101">
        <v>12389234</v>
      </c>
      <c r="J28" s="98">
        <v>5958841</v>
      </c>
      <c r="K28" s="100">
        <v>5971261</v>
      </c>
      <c r="L28" s="98">
        <f>34601641-40066</f>
        <v>34561575</v>
      </c>
      <c r="M28" s="98">
        <v>43043946</v>
      </c>
      <c r="N28" s="102">
        <f t="shared" si="7"/>
        <v>101924857</v>
      </c>
      <c r="O28" s="103">
        <v>479272525</v>
      </c>
      <c r="P28" s="104">
        <v>52123524</v>
      </c>
      <c r="Q28" s="98">
        <v>8345803</v>
      </c>
      <c r="R28" s="98">
        <v>5327945</v>
      </c>
      <c r="S28" s="98">
        <f>69092681-715672</f>
        <v>68377009</v>
      </c>
      <c r="T28" s="98">
        <v>104331952</v>
      </c>
      <c r="U28" s="99">
        <f t="shared" si="8"/>
        <v>238506233</v>
      </c>
    </row>
    <row r="29" spans="1:115" s="6" customFormat="1" ht="18" customHeight="1" thickBot="1">
      <c r="A29" s="15">
        <v>2001</v>
      </c>
      <c r="B29" s="7" t="s">
        <v>13</v>
      </c>
      <c r="C29" s="113">
        <v>2804149943</v>
      </c>
      <c r="D29" s="114">
        <f t="shared" si="5"/>
        <v>107981107</v>
      </c>
      <c r="E29" s="115">
        <f t="shared" si="6"/>
        <v>247833776</v>
      </c>
      <c r="F29" s="116">
        <v>22191786</v>
      </c>
      <c r="G29" s="114">
        <v>799066</v>
      </c>
      <c r="H29" s="116">
        <v>1956385</v>
      </c>
      <c r="I29" s="117">
        <v>12284050</v>
      </c>
      <c r="J29" s="114">
        <v>6172229</v>
      </c>
      <c r="K29" s="116">
        <v>4677699</v>
      </c>
      <c r="L29" s="114">
        <f>38796920+1070724</f>
        <v>39867644</v>
      </c>
      <c r="M29" s="114">
        <v>44979485</v>
      </c>
      <c r="N29" s="118">
        <f t="shared" si="7"/>
        <v>107981107</v>
      </c>
      <c r="O29" s="119">
        <v>471104544</v>
      </c>
      <c r="P29" s="120">
        <v>51271793</v>
      </c>
      <c r="Q29" s="114">
        <v>8789832</v>
      </c>
      <c r="R29" s="114">
        <v>4215686</v>
      </c>
      <c r="S29" s="114">
        <f>73508370+671933</f>
        <v>74180303</v>
      </c>
      <c r="T29" s="114">
        <v>109376162</v>
      </c>
      <c r="U29" s="115">
        <f t="shared" si="8"/>
        <v>247833776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</row>
    <row r="30" spans="1:115" s="24" customFormat="1" ht="18" customHeight="1" thickTop="1" thickBot="1">
      <c r="A30" s="20">
        <v>2001</v>
      </c>
      <c r="B30" s="21" t="s">
        <v>14</v>
      </c>
      <c r="C30" s="121">
        <f t="shared" ref="C30:U30" si="9">SUM(C18:C29)</f>
        <v>33078120133</v>
      </c>
      <c r="D30" s="122">
        <f t="shared" si="9"/>
        <v>1217715784</v>
      </c>
      <c r="E30" s="123">
        <f t="shared" si="9"/>
        <v>2894991812</v>
      </c>
      <c r="F30" s="124">
        <f t="shared" si="9"/>
        <v>264999649</v>
      </c>
      <c r="G30" s="122">
        <f t="shared" si="9"/>
        <v>9530686</v>
      </c>
      <c r="H30" s="124">
        <f t="shared" si="9"/>
        <v>23106947</v>
      </c>
      <c r="I30" s="125">
        <f t="shared" si="9"/>
        <v>145358632</v>
      </c>
      <c r="J30" s="122">
        <f t="shared" si="9"/>
        <v>63274247</v>
      </c>
      <c r="K30" s="124">
        <f t="shared" si="9"/>
        <v>126854361</v>
      </c>
      <c r="L30" s="122">
        <f t="shared" si="9"/>
        <v>369661393</v>
      </c>
      <c r="M30" s="122">
        <f t="shared" si="9"/>
        <v>512567151</v>
      </c>
      <c r="N30" s="126">
        <f t="shared" si="9"/>
        <v>1217715784</v>
      </c>
      <c r="O30" s="127">
        <f t="shared" si="9"/>
        <v>5691244236</v>
      </c>
      <c r="P30" s="128">
        <f t="shared" si="9"/>
        <v>617076200</v>
      </c>
      <c r="Q30" s="122">
        <f t="shared" si="9"/>
        <v>110026229</v>
      </c>
      <c r="R30" s="122">
        <f t="shared" si="9"/>
        <v>88958625</v>
      </c>
      <c r="S30" s="122">
        <f t="shared" si="9"/>
        <v>805122717</v>
      </c>
      <c r="T30" s="122">
        <f t="shared" si="9"/>
        <v>1273808041</v>
      </c>
      <c r="U30" s="123">
        <f t="shared" si="9"/>
        <v>2894991812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8" customHeight="1" thickTop="1">
      <c r="A31" s="13">
        <v>2002</v>
      </c>
      <c r="B31" s="14" t="s">
        <v>2</v>
      </c>
      <c r="C31" s="97">
        <v>2839729632</v>
      </c>
      <c r="D31" s="98">
        <f t="shared" ref="D31:D42" si="10">+N31</f>
        <v>109179005</v>
      </c>
      <c r="E31" s="99">
        <f t="shared" ref="E31:E42" si="11">+U31</f>
        <v>250017643</v>
      </c>
      <c r="F31" s="100">
        <v>22290967</v>
      </c>
      <c r="G31" s="98">
        <v>807810</v>
      </c>
      <c r="H31" s="100">
        <v>1957006</v>
      </c>
      <c r="I31" s="101">
        <v>12633642</v>
      </c>
      <c r="J31" s="98">
        <v>4514013</v>
      </c>
      <c r="K31" s="100">
        <v>8309419</v>
      </c>
      <c r="L31" s="98">
        <f>39139787-1090141</f>
        <v>38049646</v>
      </c>
      <c r="M31" s="98">
        <v>45672285</v>
      </c>
      <c r="N31" s="102">
        <f t="shared" ref="N31:N42" si="12">SUM(I31:M31)</f>
        <v>109179005</v>
      </c>
      <c r="O31" s="103">
        <v>492117847</v>
      </c>
      <c r="P31" s="104">
        <v>53628110</v>
      </c>
      <c r="Q31" s="98">
        <v>8517818</v>
      </c>
      <c r="R31" s="98">
        <v>6979717</v>
      </c>
      <c r="S31" s="98">
        <f>69364639-579443</f>
        <v>68785196</v>
      </c>
      <c r="T31" s="98">
        <v>112106802</v>
      </c>
      <c r="U31" s="99">
        <f t="shared" ref="U31:U42" si="13">SUM(P31:T31)</f>
        <v>250017643</v>
      </c>
    </row>
    <row r="32" spans="1:115" ht="18" customHeight="1">
      <c r="A32" s="13">
        <v>2002</v>
      </c>
      <c r="B32" s="14" t="s">
        <v>3</v>
      </c>
      <c r="C32" s="97">
        <v>2640241714</v>
      </c>
      <c r="D32" s="98">
        <f t="shared" si="10"/>
        <v>100022932</v>
      </c>
      <c r="E32" s="99">
        <f t="shared" si="11"/>
        <v>232070512</v>
      </c>
      <c r="F32" s="100">
        <v>20249188</v>
      </c>
      <c r="G32" s="98">
        <v>728015</v>
      </c>
      <c r="H32" s="100">
        <v>1776785</v>
      </c>
      <c r="I32" s="101">
        <v>11500912</v>
      </c>
      <c r="J32" s="98">
        <v>4331923</v>
      </c>
      <c r="K32" s="100">
        <v>8495998</v>
      </c>
      <c r="L32" s="98">
        <f>35565947+43769</f>
        <v>35609716</v>
      </c>
      <c r="M32" s="98">
        <v>40084383</v>
      </c>
      <c r="N32" s="102">
        <f t="shared" si="12"/>
        <v>100022932</v>
      </c>
      <c r="O32" s="103">
        <v>448349485</v>
      </c>
      <c r="P32" s="104">
        <v>48737825</v>
      </c>
      <c r="Q32" s="98">
        <v>8359238</v>
      </c>
      <c r="R32" s="98">
        <v>7339041</v>
      </c>
      <c r="S32" s="98">
        <f>63712041+265002</f>
        <v>63977043</v>
      </c>
      <c r="T32" s="98">
        <v>103657365</v>
      </c>
      <c r="U32" s="99">
        <f t="shared" si="13"/>
        <v>232070512</v>
      </c>
    </row>
    <row r="33" spans="1:115" ht="18" customHeight="1">
      <c r="A33" s="13">
        <v>2002</v>
      </c>
      <c r="B33" s="14" t="s">
        <v>4</v>
      </c>
      <c r="C33" s="97">
        <v>2997314674</v>
      </c>
      <c r="D33" s="98">
        <f t="shared" si="10"/>
        <v>111422576</v>
      </c>
      <c r="E33" s="99">
        <f t="shared" si="11"/>
        <v>261765855</v>
      </c>
      <c r="F33" s="100">
        <v>22383467</v>
      </c>
      <c r="G33" s="98">
        <v>808531</v>
      </c>
      <c r="H33" s="100">
        <v>1957927</v>
      </c>
      <c r="I33" s="101">
        <v>12413747</v>
      </c>
      <c r="J33" s="98">
        <v>4941406</v>
      </c>
      <c r="K33" s="100">
        <v>9827789</v>
      </c>
      <c r="L33" s="98">
        <f>38639564+1253235</f>
        <v>39892799</v>
      </c>
      <c r="M33" s="98">
        <v>44346835</v>
      </c>
      <c r="N33" s="102">
        <f t="shared" si="12"/>
        <v>111422576</v>
      </c>
      <c r="O33" s="103">
        <v>482164745</v>
      </c>
      <c r="P33" s="104">
        <v>52721752</v>
      </c>
      <c r="Q33" s="98">
        <v>9185308</v>
      </c>
      <c r="R33" s="98">
        <v>8785348</v>
      </c>
      <c r="S33" s="98">
        <v>76755898</v>
      </c>
      <c r="T33" s="98">
        <v>114317549</v>
      </c>
      <c r="U33" s="99">
        <f t="shared" si="13"/>
        <v>261765855</v>
      </c>
    </row>
    <row r="34" spans="1:115" ht="18" customHeight="1">
      <c r="A34" s="13">
        <v>2002</v>
      </c>
      <c r="B34" s="14" t="s">
        <v>5</v>
      </c>
      <c r="C34" s="97">
        <v>2942796972</v>
      </c>
      <c r="D34" s="98">
        <f t="shared" si="10"/>
        <v>107489662</v>
      </c>
      <c r="E34" s="99">
        <f t="shared" si="11"/>
        <v>257305123</v>
      </c>
      <c r="F34" s="100">
        <v>21471433</v>
      </c>
      <c r="G34" s="98">
        <v>779321</v>
      </c>
      <c r="H34" s="100">
        <v>1883996</v>
      </c>
      <c r="I34" s="101">
        <v>12225607</v>
      </c>
      <c r="J34" s="98">
        <v>4906401</v>
      </c>
      <c r="K34" s="100">
        <v>9956238</v>
      </c>
      <c r="L34" s="98">
        <f>37961251-736340</f>
        <v>37224911</v>
      </c>
      <c r="M34" s="98">
        <v>43176505</v>
      </c>
      <c r="N34" s="102">
        <f t="shared" si="12"/>
        <v>107489662</v>
      </c>
      <c r="O34" s="103">
        <v>477642105</v>
      </c>
      <c r="P34" s="104">
        <v>52099925</v>
      </c>
      <c r="Q34" s="98">
        <v>8462797</v>
      </c>
      <c r="R34" s="98">
        <v>9272978</v>
      </c>
      <c r="S34" s="98">
        <f>76253153-730789</f>
        <v>75522364</v>
      </c>
      <c r="T34" s="98">
        <v>111947059</v>
      </c>
      <c r="U34" s="99">
        <f t="shared" si="13"/>
        <v>257305123</v>
      </c>
    </row>
    <row r="35" spans="1:115" ht="18" customHeight="1">
      <c r="A35" s="13">
        <v>2002</v>
      </c>
      <c r="B35" s="14" t="s">
        <v>6</v>
      </c>
      <c r="C35" s="97">
        <v>3087522343</v>
      </c>
      <c r="D35" s="98">
        <f t="shared" si="10"/>
        <v>112675600</v>
      </c>
      <c r="E35" s="99">
        <f t="shared" si="11"/>
        <v>270041618</v>
      </c>
      <c r="F35" s="100">
        <v>22413864</v>
      </c>
      <c r="G35" s="98">
        <v>808435</v>
      </c>
      <c r="H35" s="100">
        <v>1957188</v>
      </c>
      <c r="I35" s="101">
        <v>12758388</v>
      </c>
      <c r="J35" s="98">
        <v>5550055</v>
      </c>
      <c r="K35" s="100">
        <v>9720104</v>
      </c>
      <c r="L35" s="98">
        <v>39065652</v>
      </c>
      <c r="M35" s="98">
        <v>45581401</v>
      </c>
      <c r="N35" s="102">
        <f t="shared" si="12"/>
        <v>112675600</v>
      </c>
      <c r="O35" s="103">
        <v>496863754</v>
      </c>
      <c r="P35" s="104">
        <v>54188255</v>
      </c>
      <c r="Q35" s="98">
        <v>8786891</v>
      </c>
      <c r="R35" s="98">
        <v>9179538</v>
      </c>
      <c r="S35" s="98">
        <f>81713435-546860</f>
        <v>81166575</v>
      </c>
      <c r="T35" s="98">
        <v>116720359</v>
      </c>
      <c r="U35" s="99">
        <f t="shared" si="13"/>
        <v>270041618</v>
      </c>
    </row>
    <row r="36" spans="1:115" ht="18" customHeight="1">
      <c r="A36" s="13">
        <v>2002</v>
      </c>
      <c r="B36" s="14" t="s">
        <v>7</v>
      </c>
      <c r="C36" s="97">
        <v>2974715209</v>
      </c>
      <c r="D36" s="98">
        <f t="shared" si="10"/>
        <v>106268099</v>
      </c>
      <c r="E36" s="99">
        <f t="shared" si="11"/>
        <v>259053085</v>
      </c>
      <c r="F36" s="100">
        <v>21702295</v>
      </c>
      <c r="G36" s="98">
        <v>779149</v>
      </c>
      <c r="H36" s="100">
        <v>1885699</v>
      </c>
      <c r="I36" s="101">
        <v>11700005</v>
      </c>
      <c r="J36" s="98">
        <v>5075034</v>
      </c>
      <c r="K36" s="100">
        <v>9639198</v>
      </c>
      <c r="L36" s="98">
        <f>34868908+943957</f>
        <v>35812865</v>
      </c>
      <c r="M36" s="98">
        <v>44040997</v>
      </c>
      <c r="N36" s="102">
        <f t="shared" si="12"/>
        <v>106268099</v>
      </c>
      <c r="O36" s="103">
        <v>445158683</v>
      </c>
      <c r="P36" s="104">
        <v>48677415</v>
      </c>
      <c r="Q36" s="98">
        <v>8545092</v>
      </c>
      <c r="R36" s="98">
        <v>9069275</v>
      </c>
      <c r="S36" s="98">
        <f>78465416+1132099</f>
        <v>79597515</v>
      </c>
      <c r="T36" s="98">
        <v>113163788</v>
      </c>
      <c r="U36" s="99">
        <f t="shared" si="13"/>
        <v>259053085</v>
      </c>
    </row>
    <row r="37" spans="1:115" ht="18" customHeight="1">
      <c r="A37" s="13">
        <v>2002</v>
      </c>
      <c r="B37" s="14" t="s">
        <v>8</v>
      </c>
      <c r="C37" s="97">
        <v>2987091988</v>
      </c>
      <c r="D37" s="98">
        <f t="shared" si="10"/>
        <v>106075022</v>
      </c>
      <c r="E37" s="99">
        <f t="shared" si="11"/>
        <v>259166950</v>
      </c>
      <c r="F37" s="100">
        <v>22042203</v>
      </c>
      <c r="G37" s="98">
        <v>774053</v>
      </c>
      <c r="H37" s="100">
        <v>1900888</v>
      </c>
      <c r="I37" s="101">
        <v>12676237</v>
      </c>
      <c r="J37" s="98">
        <v>5246583</v>
      </c>
      <c r="K37" s="100">
        <v>9044842</v>
      </c>
      <c r="L37" s="98">
        <f>34892393-767971</f>
        <v>34124422</v>
      </c>
      <c r="M37" s="98">
        <v>44982938</v>
      </c>
      <c r="N37" s="102">
        <f t="shared" si="12"/>
        <v>106075022</v>
      </c>
      <c r="O37" s="103">
        <v>474083529</v>
      </c>
      <c r="P37" s="104">
        <v>51637563</v>
      </c>
      <c r="Q37" s="98">
        <v>9324269</v>
      </c>
      <c r="R37" s="98">
        <v>8434971</v>
      </c>
      <c r="S37" s="98">
        <f>75016011-1068986</f>
        <v>73947025</v>
      </c>
      <c r="T37" s="98">
        <v>115823122</v>
      </c>
      <c r="U37" s="99">
        <f t="shared" si="13"/>
        <v>259166950</v>
      </c>
    </row>
    <row r="38" spans="1:115" ht="18" customHeight="1">
      <c r="A38" s="13">
        <v>2002</v>
      </c>
      <c r="B38" s="14" t="s">
        <v>9</v>
      </c>
      <c r="C38" s="97">
        <v>3003014581</v>
      </c>
      <c r="D38" s="98">
        <f t="shared" si="10"/>
        <v>107355855</v>
      </c>
      <c r="E38" s="99">
        <f t="shared" si="11"/>
        <v>261066923</v>
      </c>
      <c r="F38" s="100">
        <v>22400894</v>
      </c>
      <c r="G38" s="98">
        <v>784141</v>
      </c>
      <c r="H38" s="100">
        <v>1937994</v>
      </c>
      <c r="I38" s="101">
        <v>12717207</v>
      </c>
      <c r="J38" s="98">
        <v>5060967</v>
      </c>
      <c r="K38" s="100">
        <v>8993131</v>
      </c>
      <c r="L38" s="98">
        <f>33239611+597381</f>
        <v>33836992</v>
      </c>
      <c r="M38" s="98">
        <v>46747558</v>
      </c>
      <c r="N38" s="102">
        <f t="shared" si="12"/>
        <v>107355855</v>
      </c>
      <c r="O38" s="103">
        <v>479780545</v>
      </c>
      <c r="P38" s="104">
        <v>52242374</v>
      </c>
      <c r="Q38" s="98">
        <v>8702758</v>
      </c>
      <c r="R38" s="98">
        <v>8364594</v>
      </c>
      <c r="S38" s="98">
        <f>73321699-277425</f>
        <v>73044274</v>
      </c>
      <c r="T38" s="98">
        <v>118712923</v>
      </c>
      <c r="U38" s="99">
        <f t="shared" si="13"/>
        <v>261066923</v>
      </c>
    </row>
    <row r="39" spans="1:115" ht="18" customHeight="1">
      <c r="A39" s="13">
        <v>2002</v>
      </c>
      <c r="B39" s="14" t="s">
        <v>10</v>
      </c>
      <c r="C39" s="97">
        <v>2842802563</v>
      </c>
      <c r="D39" s="98">
        <f t="shared" si="10"/>
        <v>102978258</v>
      </c>
      <c r="E39" s="99">
        <f t="shared" si="11"/>
        <v>247581569</v>
      </c>
      <c r="F39" s="100">
        <v>20532624</v>
      </c>
      <c r="G39" s="98">
        <v>727295</v>
      </c>
      <c r="H39" s="100">
        <v>1782089</v>
      </c>
      <c r="I39" s="101">
        <v>12579278</v>
      </c>
      <c r="J39" s="98">
        <v>4999168</v>
      </c>
      <c r="K39" s="100">
        <v>8113788</v>
      </c>
      <c r="L39" s="98">
        <f>31236722-660666</f>
        <v>30576056</v>
      </c>
      <c r="M39" s="98">
        <v>46709968</v>
      </c>
      <c r="N39" s="102">
        <f t="shared" si="12"/>
        <v>102978258</v>
      </c>
      <c r="O39" s="103">
        <v>485379451</v>
      </c>
      <c r="P39" s="104">
        <v>53024503</v>
      </c>
      <c r="Q39" s="98">
        <v>9709182</v>
      </c>
      <c r="R39" s="98">
        <v>7577785</v>
      </c>
      <c r="S39" s="98">
        <f>64493576-576439</f>
        <v>63917137</v>
      </c>
      <c r="T39" s="98">
        <v>113352962</v>
      </c>
      <c r="U39" s="99">
        <f t="shared" si="13"/>
        <v>247581569</v>
      </c>
    </row>
    <row r="40" spans="1:115" ht="18" customHeight="1">
      <c r="A40" s="13">
        <v>2002</v>
      </c>
      <c r="B40" s="14" t="s">
        <v>11</v>
      </c>
      <c r="C40" s="97">
        <v>2912827154</v>
      </c>
      <c r="D40" s="98">
        <f t="shared" si="10"/>
        <v>107599864</v>
      </c>
      <c r="E40" s="99">
        <f t="shared" si="11"/>
        <v>254861958</v>
      </c>
      <c r="F40" s="100">
        <v>22037581</v>
      </c>
      <c r="G40" s="98">
        <v>786898</v>
      </c>
      <c r="H40" s="100">
        <v>1925620</v>
      </c>
      <c r="I40" s="101">
        <v>13171551</v>
      </c>
      <c r="J40" s="98">
        <v>6064405</v>
      </c>
      <c r="K40" s="100">
        <v>8099791</v>
      </c>
      <c r="L40" s="98">
        <f>33558891+223057</f>
        <v>33781948</v>
      </c>
      <c r="M40" s="98">
        <v>46482169</v>
      </c>
      <c r="N40" s="102">
        <f t="shared" si="12"/>
        <v>107599864</v>
      </c>
      <c r="O40" s="103">
        <v>506871609</v>
      </c>
      <c r="P40" s="104">
        <v>55214989</v>
      </c>
      <c r="Q40" s="98">
        <v>9977473</v>
      </c>
      <c r="R40" s="98">
        <v>6753063</v>
      </c>
      <c r="S40" s="98">
        <f>68802251+537638</f>
        <v>69339889</v>
      </c>
      <c r="T40" s="98">
        <v>113576544</v>
      </c>
      <c r="U40" s="99">
        <f t="shared" si="13"/>
        <v>254861958</v>
      </c>
    </row>
    <row r="41" spans="1:115" ht="18" customHeight="1">
      <c r="A41" s="13">
        <v>2002</v>
      </c>
      <c r="B41" s="14" t="s">
        <v>12</v>
      </c>
      <c r="C41" s="97">
        <v>2828328113</v>
      </c>
      <c r="D41" s="98">
        <f t="shared" si="10"/>
        <v>106683554</v>
      </c>
      <c r="E41" s="99">
        <f t="shared" si="11"/>
        <v>248727443</v>
      </c>
      <c r="F41" s="100">
        <v>21550864</v>
      </c>
      <c r="G41" s="98">
        <v>780242</v>
      </c>
      <c r="H41" s="100">
        <v>1889116</v>
      </c>
      <c r="I41" s="101">
        <v>12441493</v>
      </c>
      <c r="J41" s="98">
        <v>6891968</v>
      </c>
      <c r="K41" s="100">
        <v>6763307</v>
      </c>
      <c r="L41" s="98">
        <f>32547508+199274</f>
        <v>32746782</v>
      </c>
      <c r="M41" s="98">
        <v>47840004</v>
      </c>
      <c r="N41" s="102">
        <f t="shared" si="12"/>
        <v>106683554</v>
      </c>
      <c r="O41" s="103">
        <v>475938115</v>
      </c>
      <c r="P41" s="104">
        <v>52043206</v>
      </c>
      <c r="Q41" s="98">
        <v>9505207</v>
      </c>
      <c r="R41" s="98">
        <v>5736946</v>
      </c>
      <c r="S41" s="98">
        <f>64030201+688507</f>
        <v>64718708</v>
      </c>
      <c r="T41" s="98">
        <v>116723376</v>
      </c>
      <c r="U41" s="99">
        <f t="shared" si="13"/>
        <v>248727443</v>
      </c>
    </row>
    <row r="42" spans="1:115" s="6" customFormat="1" ht="18" customHeight="1" thickBot="1">
      <c r="A42" s="13">
        <v>2002</v>
      </c>
      <c r="B42" s="14" t="s">
        <v>13</v>
      </c>
      <c r="C42" s="97">
        <v>2952216042</v>
      </c>
      <c r="D42" s="98">
        <f t="shared" si="10"/>
        <v>111693858</v>
      </c>
      <c r="E42" s="99">
        <f t="shared" si="11"/>
        <v>259506130</v>
      </c>
      <c r="F42" s="100">
        <v>22218472</v>
      </c>
      <c r="G42" s="98">
        <v>806473</v>
      </c>
      <c r="H42" s="100">
        <v>1948495</v>
      </c>
      <c r="I42" s="101">
        <v>12809385</v>
      </c>
      <c r="J42" s="98">
        <v>6680003</v>
      </c>
      <c r="K42" s="100">
        <v>6079607</v>
      </c>
      <c r="L42" s="98">
        <f>37678013+686687</f>
        <v>38364700</v>
      </c>
      <c r="M42" s="98">
        <v>47760163</v>
      </c>
      <c r="N42" s="102">
        <f t="shared" si="12"/>
        <v>111693858</v>
      </c>
      <c r="O42" s="103">
        <v>482915662</v>
      </c>
      <c r="P42" s="104">
        <v>52742124</v>
      </c>
      <c r="Q42" s="98">
        <v>9897030</v>
      </c>
      <c r="R42" s="98">
        <v>4941522</v>
      </c>
      <c r="S42" s="98">
        <f>74567138-261831</f>
        <v>74305307</v>
      </c>
      <c r="T42" s="98">
        <v>117620147</v>
      </c>
      <c r="U42" s="99">
        <f t="shared" si="13"/>
        <v>259506130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s="24" customFormat="1" ht="18" customHeight="1" thickTop="1" thickBot="1">
      <c r="A43" s="22">
        <v>2002</v>
      </c>
      <c r="B43" s="23" t="s">
        <v>14</v>
      </c>
      <c r="C43" s="105">
        <f t="shared" ref="C43:U43" si="14">SUM(C31:C42)</f>
        <v>35008600985</v>
      </c>
      <c r="D43" s="106">
        <f t="shared" si="14"/>
        <v>1289444285</v>
      </c>
      <c r="E43" s="107">
        <f t="shared" si="14"/>
        <v>3061164809</v>
      </c>
      <c r="F43" s="108">
        <f t="shared" si="14"/>
        <v>261293852</v>
      </c>
      <c r="G43" s="106">
        <f t="shared" si="14"/>
        <v>9370363</v>
      </c>
      <c r="H43" s="108">
        <f t="shared" si="14"/>
        <v>22802803</v>
      </c>
      <c r="I43" s="109">
        <f t="shared" si="14"/>
        <v>149627452</v>
      </c>
      <c r="J43" s="106">
        <f t="shared" si="14"/>
        <v>64261926</v>
      </c>
      <c r="K43" s="108">
        <f t="shared" si="14"/>
        <v>103043212</v>
      </c>
      <c r="L43" s="106">
        <f t="shared" si="14"/>
        <v>429086489</v>
      </c>
      <c r="M43" s="106">
        <f t="shared" si="14"/>
        <v>543425206</v>
      </c>
      <c r="N43" s="110">
        <f t="shared" si="14"/>
        <v>1289444285</v>
      </c>
      <c r="O43" s="111">
        <f t="shared" si="14"/>
        <v>5747265530</v>
      </c>
      <c r="P43" s="112">
        <f t="shared" si="14"/>
        <v>626958041</v>
      </c>
      <c r="Q43" s="106">
        <f t="shared" si="14"/>
        <v>108973063</v>
      </c>
      <c r="R43" s="106">
        <f t="shared" si="14"/>
        <v>92434778</v>
      </c>
      <c r="S43" s="106">
        <f t="shared" si="14"/>
        <v>865076931</v>
      </c>
      <c r="T43" s="106">
        <f t="shared" si="14"/>
        <v>1367721996</v>
      </c>
      <c r="U43" s="107">
        <f t="shared" si="14"/>
        <v>3061164809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8" customHeight="1" thickTop="1">
      <c r="A44" s="13">
        <v>2003</v>
      </c>
      <c r="B44" s="14" t="s">
        <v>2</v>
      </c>
      <c r="C44" s="97">
        <v>2992977798</v>
      </c>
      <c r="D44" s="98">
        <f t="shared" ref="D44:D55" si="15">+N44</f>
        <v>112913352</v>
      </c>
      <c r="E44" s="99">
        <f t="shared" ref="E44:E55" si="16">+U44</f>
        <v>261893456</v>
      </c>
      <c r="F44" s="100">
        <v>22350226</v>
      </c>
      <c r="G44" s="98">
        <v>792992</v>
      </c>
      <c r="H44" s="100">
        <v>1954885</v>
      </c>
      <c r="I44" s="101">
        <v>12763126</v>
      </c>
      <c r="J44" s="98">
        <v>5544624</v>
      </c>
      <c r="K44" s="100">
        <v>8700890</v>
      </c>
      <c r="L44" s="98">
        <f>39803245-810443</f>
        <v>38992802</v>
      </c>
      <c r="M44" s="98">
        <v>46911910</v>
      </c>
      <c r="N44" s="102">
        <f t="shared" ref="N44:N55" si="17">SUM(I44:M44)</f>
        <v>112913352</v>
      </c>
      <c r="O44" s="103">
        <v>496337653</v>
      </c>
      <c r="P44" s="104">
        <v>54138263</v>
      </c>
      <c r="Q44" s="98">
        <v>9884728</v>
      </c>
      <c r="R44" s="98">
        <v>7213685</v>
      </c>
      <c r="S44" s="98">
        <f>75245408-141285</f>
        <v>75104123</v>
      </c>
      <c r="T44" s="98">
        <v>115552657</v>
      </c>
      <c r="U44" s="99">
        <f t="shared" ref="U44:U55" si="18">SUM(P44:T44)</f>
        <v>261893456</v>
      </c>
    </row>
    <row r="45" spans="1:115" ht="18" customHeight="1">
      <c r="A45" s="13">
        <v>2003</v>
      </c>
      <c r="B45" s="14" t="s">
        <v>3</v>
      </c>
      <c r="C45" s="97">
        <v>2765978184</v>
      </c>
      <c r="D45" s="98">
        <f t="shared" si="15"/>
        <v>102055981</v>
      </c>
      <c r="E45" s="99">
        <f t="shared" si="16"/>
        <v>242025312</v>
      </c>
      <c r="F45" s="100">
        <v>20075360</v>
      </c>
      <c r="G45" s="98">
        <v>724535</v>
      </c>
      <c r="H45" s="100">
        <v>1753692</v>
      </c>
      <c r="I45" s="101">
        <v>11520974</v>
      </c>
      <c r="J45" s="98">
        <v>4887829</v>
      </c>
      <c r="K45" s="100">
        <v>8019834</v>
      </c>
      <c r="L45" s="98">
        <f>35851456-671187</f>
        <v>35180269</v>
      </c>
      <c r="M45" s="98">
        <v>42447075</v>
      </c>
      <c r="N45" s="102">
        <f t="shared" si="17"/>
        <v>102055981</v>
      </c>
      <c r="O45" s="103">
        <v>446989990</v>
      </c>
      <c r="P45" s="104">
        <v>48760107</v>
      </c>
      <c r="Q45" s="98">
        <v>9342216</v>
      </c>
      <c r="R45" s="98">
        <v>7140168</v>
      </c>
      <c r="S45" s="98">
        <f>70024813-10795</f>
        <v>70014018</v>
      </c>
      <c r="T45" s="98">
        <v>106768803</v>
      </c>
      <c r="U45" s="99">
        <f t="shared" si="18"/>
        <v>242025312</v>
      </c>
    </row>
    <row r="46" spans="1:115" ht="18" customHeight="1">
      <c r="A46" s="13">
        <v>2003</v>
      </c>
      <c r="B46" s="14" t="s">
        <v>4</v>
      </c>
      <c r="C46" s="97">
        <v>3100064441</v>
      </c>
      <c r="D46" s="98">
        <f t="shared" si="15"/>
        <v>114884578</v>
      </c>
      <c r="E46" s="99">
        <f t="shared" si="16"/>
        <v>270609813</v>
      </c>
      <c r="F46" s="100">
        <v>22320369</v>
      </c>
      <c r="G46" s="98">
        <v>807203</v>
      </c>
      <c r="H46" s="100">
        <v>1949422</v>
      </c>
      <c r="I46" s="101">
        <v>12809252</v>
      </c>
      <c r="J46" s="98">
        <v>5419791</v>
      </c>
      <c r="K46" s="100">
        <v>8588451</v>
      </c>
      <c r="L46" s="98">
        <f>39106599+1122439</f>
        <v>40229038</v>
      </c>
      <c r="M46" s="98">
        <v>47838046</v>
      </c>
      <c r="N46" s="102">
        <f t="shared" si="17"/>
        <v>114884578</v>
      </c>
      <c r="O46" s="103">
        <v>492424949</v>
      </c>
      <c r="P46" s="104">
        <v>53793795</v>
      </c>
      <c r="Q46" s="98">
        <v>9813005</v>
      </c>
      <c r="R46" s="98">
        <v>7620943</v>
      </c>
      <c r="S46" s="98">
        <f>78410217+826280</f>
        <v>79236497</v>
      </c>
      <c r="T46" s="98">
        <v>120145573</v>
      </c>
      <c r="U46" s="99">
        <f t="shared" si="18"/>
        <v>270609813</v>
      </c>
    </row>
    <row r="47" spans="1:115" ht="18" customHeight="1">
      <c r="A47" s="13">
        <v>2003</v>
      </c>
      <c r="B47" s="14" t="s">
        <v>5</v>
      </c>
      <c r="C47" s="97">
        <v>3023969278</v>
      </c>
      <c r="D47" s="98">
        <f t="shared" si="15"/>
        <v>110851647</v>
      </c>
      <c r="E47" s="99">
        <f t="shared" si="16"/>
        <v>264113116</v>
      </c>
      <c r="F47" s="100">
        <v>21404290</v>
      </c>
      <c r="G47" s="98">
        <v>758232</v>
      </c>
      <c r="H47" s="100">
        <v>1868409</v>
      </c>
      <c r="I47" s="101">
        <v>12368763</v>
      </c>
      <c r="J47" s="98">
        <v>5474060</v>
      </c>
      <c r="K47" s="100">
        <v>9659623</v>
      </c>
      <c r="L47" s="98">
        <f>38118979-1194237</f>
        <v>36924742</v>
      </c>
      <c r="M47" s="98">
        <v>46424459</v>
      </c>
      <c r="N47" s="102">
        <f t="shared" si="17"/>
        <v>110851647</v>
      </c>
      <c r="O47" s="103">
        <v>473170197</v>
      </c>
      <c r="P47" s="104">
        <v>45850621</v>
      </c>
      <c r="Q47" s="98">
        <v>15234948</v>
      </c>
      <c r="R47" s="98">
        <v>8070721</v>
      </c>
      <c r="S47" s="98">
        <f>78001191-605542</f>
        <v>77395649</v>
      </c>
      <c r="T47" s="98">
        <v>117561177</v>
      </c>
      <c r="U47" s="99">
        <f t="shared" si="18"/>
        <v>264113116</v>
      </c>
    </row>
    <row r="48" spans="1:115" ht="18" customHeight="1">
      <c r="A48" s="13">
        <v>2003</v>
      </c>
      <c r="B48" s="14" t="s">
        <v>6</v>
      </c>
      <c r="C48" s="97">
        <v>3093203393</v>
      </c>
      <c r="D48" s="98">
        <f t="shared" si="15"/>
        <v>112215828</v>
      </c>
      <c r="E48" s="99">
        <f t="shared" si="16"/>
        <v>269472804</v>
      </c>
      <c r="F48" s="100">
        <v>22053331</v>
      </c>
      <c r="G48" s="98">
        <v>775520</v>
      </c>
      <c r="H48" s="100">
        <v>1917462</v>
      </c>
      <c r="I48" s="101">
        <v>12672548</v>
      </c>
      <c r="J48" s="98">
        <v>5381367</v>
      </c>
      <c r="K48" s="100">
        <v>9728526</v>
      </c>
      <c r="L48" s="98">
        <f>35775552-83306</f>
        <v>35692246</v>
      </c>
      <c r="M48" s="98">
        <v>48741141</v>
      </c>
      <c r="N48" s="102">
        <f t="shared" si="17"/>
        <v>112215828</v>
      </c>
      <c r="O48" s="103">
        <v>484732896</v>
      </c>
      <c r="P48" s="104">
        <v>52856527</v>
      </c>
      <c r="Q48" s="98">
        <v>9548500</v>
      </c>
      <c r="R48" s="98">
        <v>8009825</v>
      </c>
      <c r="S48" s="98">
        <f>75912284+515943</f>
        <v>76428227</v>
      </c>
      <c r="T48" s="98">
        <v>122629725</v>
      </c>
      <c r="U48" s="99">
        <f t="shared" si="18"/>
        <v>269472804</v>
      </c>
    </row>
    <row r="49" spans="1:115" ht="18" customHeight="1">
      <c r="A49" s="13">
        <v>2003</v>
      </c>
      <c r="B49" s="14" t="s">
        <v>7</v>
      </c>
      <c r="C49" s="97">
        <v>2978529943</v>
      </c>
      <c r="D49" s="98">
        <f t="shared" si="15"/>
        <v>105441139</v>
      </c>
      <c r="E49" s="99">
        <f t="shared" si="16"/>
        <v>258416156</v>
      </c>
      <c r="F49" s="100">
        <v>21734820</v>
      </c>
      <c r="G49" s="98">
        <v>772250</v>
      </c>
      <c r="H49" s="100">
        <v>1876770</v>
      </c>
      <c r="I49" s="101">
        <v>12324097</v>
      </c>
      <c r="J49" s="98">
        <v>5402952</v>
      </c>
      <c r="K49" s="100">
        <v>11216045</v>
      </c>
      <c r="L49" s="98">
        <f>27748119-207668</f>
        <v>27540451</v>
      </c>
      <c r="M49" s="98">
        <v>48957594</v>
      </c>
      <c r="N49" s="102">
        <f t="shared" si="17"/>
        <v>105441139</v>
      </c>
      <c r="O49" s="103">
        <v>460377368</v>
      </c>
      <c r="P49" s="104">
        <v>50117264</v>
      </c>
      <c r="Q49" s="98">
        <v>9280047</v>
      </c>
      <c r="R49" s="98">
        <v>8784173</v>
      </c>
      <c r="S49" s="98">
        <f>67635059-641573</f>
        <v>66993486</v>
      </c>
      <c r="T49" s="98">
        <v>123241186</v>
      </c>
      <c r="U49" s="99">
        <f t="shared" si="18"/>
        <v>258416156</v>
      </c>
    </row>
    <row r="50" spans="1:115" ht="18" customHeight="1">
      <c r="A50" s="13">
        <v>2003</v>
      </c>
      <c r="B50" s="14" t="s">
        <v>8</v>
      </c>
      <c r="C50" s="97">
        <v>2941077757</v>
      </c>
      <c r="D50" s="98">
        <f t="shared" si="15"/>
        <v>104072739</v>
      </c>
      <c r="E50" s="99">
        <f t="shared" si="16"/>
        <v>247808142</v>
      </c>
      <c r="F50" s="100">
        <v>22422879</v>
      </c>
      <c r="G50" s="98">
        <v>796906</v>
      </c>
      <c r="H50" s="100">
        <v>1929868</v>
      </c>
      <c r="I50" s="101">
        <v>12540720</v>
      </c>
      <c r="J50" s="98">
        <v>5808190</v>
      </c>
      <c r="K50" s="100">
        <v>13138483</v>
      </c>
      <c r="L50" s="98">
        <f>25809459-1184706</f>
        <v>24624753</v>
      </c>
      <c r="M50" s="98">
        <v>47960593</v>
      </c>
      <c r="N50" s="102">
        <f t="shared" si="17"/>
        <v>104072739</v>
      </c>
      <c r="O50" s="103">
        <v>465881170</v>
      </c>
      <c r="P50" s="104">
        <v>44470675</v>
      </c>
      <c r="Q50" s="98">
        <v>11026905</v>
      </c>
      <c r="R50" s="98">
        <v>8509623</v>
      </c>
      <c r="S50" s="98">
        <f>63203074-1163317</f>
        <v>62039757</v>
      </c>
      <c r="T50" s="98">
        <v>121761182</v>
      </c>
      <c r="U50" s="99">
        <f t="shared" si="18"/>
        <v>247808142</v>
      </c>
    </row>
    <row r="51" spans="1:115" ht="18" customHeight="1">
      <c r="A51" s="13">
        <v>2003</v>
      </c>
      <c r="B51" s="14" t="s">
        <v>9</v>
      </c>
      <c r="C51" s="97">
        <v>2940839951</v>
      </c>
      <c r="D51" s="98">
        <f t="shared" si="15"/>
        <v>104169413</v>
      </c>
      <c r="E51" s="99">
        <f t="shared" si="16"/>
        <v>255497166</v>
      </c>
      <c r="F51" s="100">
        <v>21345423</v>
      </c>
      <c r="G51" s="98">
        <v>766006</v>
      </c>
      <c r="H51" s="100">
        <v>1845784</v>
      </c>
      <c r="I51" s="101">
        <v>12342730</v>
      </c>
      <c r="J51" s="98">
        <v>5700003</v>
      </c>
      <c r="K51" s="100">
        <v>11145652</v>
      </c>
      <c r="L51" s="98">
        <f>26041628+1185238</f>
        <v>27226866</v>
      </c>
      <c r="M51" s="98">
        <v>47754162</v>
      </c>
      <c r="N51" s="102">
        <f t="shared" si="17"/>
        <v>104169413</v>
      </c>
      <c r="O51" s="103">
        <v>466408301</v>
      </c>
      <c r="P51" s="104">
        <v>50555008</v>
      </c>
      <c r="Q51" s="98">
        <v>10343870</v>
      </c>
      <c r="R51" s="98">
        <v>8030463</v>
      </c>
      <c r="S51" s="98">
        <f>64489680+893855</f>
        <v>65383535</v>
      </c>
      <c r="T51" s="98">
        <v>121184290</v>
      </c>
      <c r="U51" s="99">
        <f t="shared" si="18"/>
        <v>255497166</v>
      </c>
    </row>
    <row r="52" spans="1:115" ht="18" customHeight="1">
      <c r="A52" s="13">
        <v>2003</v>
      </c>
      <c r="B52" s="14" t="s">
        <v>10</v>
      </c>
      <c r="C52" s="97">
        <v>2798157081</v>
      </c>
      <c r="D52" s="98">
        <f t="shared" si="15"/>
        <v>100956181</v>
      </c>
      <c r="E52" s="99">
        <f t="shared" si="16"/>
        <v>244564357</v>
      </c>
      <c r="F52" s="100">
        <v>18735209</v>
      </c>
      <c r="G52" s="98">
        <v>677706</v>
      </c>
      <c r="H52" s="100">
        <v>1628131</v>
      </c>
      <c r="I52" s="101">
        <v>12423292</v>
      </c>
      <c r="J52" s="98">
        <v>5135930</v>
      </c>
      <c r="K52" s="100">
        <v>9913306</v>
      </c>
      <c r="L52" s="98">
        <f>27131262+81489</f>
        <v>27212751</v>
      </c>
      <c r="M52" s="98">
        <v>46270902</v>
      </c>
      <c r="N52" s="102">
        <f t="shared" si="17"/>
        <v>100956181</v>
      </c>
      <c r="O52" s="103">
        <v>479990491</v>
      </c>
      <c r="P52" s="104">
        <v>52410725</v>
      </c>
      <c r="Q52" s="98">
        <v>10333106</v>
      </c>
      <c r="R52" s="98">
        <v>7556373</v>
      </c>
      <c r="S52" s="98">
        <f>58481270+20864</f>
        <v>58502134</v>
      </c>
      <c r="T52" s="98">
        <v>115762019</v>
      </c>
      <c r="U52" s="99">
        <f t="shared" si="18"/>
        <v>244564357</v>
      </c>
    </row>
    <row r="53" spans="1:115" ht="18" customHeight="1">
      <c r="A53" s="13">
        <v>2003</v>
      </c>
      <c r="B53" s="14" t="s">
        <v>11</v>
      </c>
      <c r="C53" s="97">
        <v>2892089010</v>
      </c>
      <c r="D53" s="98">
        <f t="shared" si="15"/>
        <v>105734376</v>
      </c>
      <c r="E53" s="99">
        <f t="shared" si="16"/>
        <v>254450946</v>
      </c>
      <c r="F53" s="100">
        <v>19148265</v>
      </c>
      <c r="G53" s="98">
        <v>693959</v>
      </c>
      <c r="H53" s="100">
        <v>1659553</v>
      </c>
      <c r="I53" s="101">
        <v>13481500</v>
      </c>
      <c r="J53" s="98">
        <v>5989967</v>
      </c>
      <c r="K53" s="100">
        <v>8642339</v>
      </c>
      <c r="L53" s="98">
        <f>31457848-806906</f>
        <v>30650942</v>
      </c>
      <c r="M53" s="98">
        <v>46969628</v>
      </c>
      <c r="N53" s="102">
        <f t="shared" si="17"/>
        <v>105734376</v>
      </c>
      <c r="O53" s="103">
        <v>514019552</v>
      </c>
      <c r="P53" s="104">
        <v>56445589</v>
      </c>
      <c r="Q53" s="98">
        <v>9946376</v>
      </c>
      <c r="R53" s="98">
        <v>7292715</v>
      </c>
      <c r="S53" s="98">
        <f>64559315-1002399</f>
        <v>63556916</v>
      </c>
      <c r="T53" s="98">
        <v>117209350</v>
      </c>
      <c r="U53" s="99">
        <f t="shared" si="18"/>
        <v>254450946</v>
      </c>
    </row>
    <row r="54" spans="1:115" ht="18" customHeight="1">
      <c r="A54" s="13">
        <v>2003</v>
      </c>
      <c r="B54" s="14" t="s">
        <v>12</v>
      </c>
      <c r="C54" s="97">
        <v>2816712291</v>
      </c>
      <c r="D54" s="98">
        <f t="shared" si="15"/>
        <v>105659987</v>
      </c>
      <c r="E54" s="99">
        <f t="shared" si="16"/>
        <v>249663587</v>
      </c>
      <c r="F54" s="100">
        <v>20232142</v>
      </c>
      <c r="G54" s="98">
        <v>743269</v>
      </c>
      <c r="H54" s="100">
        <v>1779482</v>
      </c>
      <c r="I54" s="101">
        <v>12285027</v>
      </c>
      <c r="J54" s="98">
        <v>6917488</v>
      </c>
      <c r="K54" s="100">
        <v>7377719</v>
      </c>
      <c r="L54" s="98">
        <f>31557805+1083285</f>
        <v>32641090</v>
      </c>
      <c r="M54" s="98">
        <v>46438663</v>
      </c>
      <c r="N54" s="102">
        <f t="shared" si="17"/>
        <v>105659987</v>
      </c>
      <c r="O54" s="103">
        <v>464592199</v>
      </c>
      <c r="P54" s="104">
        <v>50923519</v>
      </c>
      <c r="Q54" s="98">
        <v>10127142</v>
      </c>
      <c r="R54" s="98">
        <v>6102356</v>
      </c>
      <c r="S54" s="98">
        <f>68219346+1624532</f>
        <v>69843878</v>
      </c>
      <c r="T54" s="98">
        <v>112666692</v>
      </c>
      <c r="U54" s="99">
        <f t="shared" si="18"/>
        <v>249663587</v>
      </c>
    </row>
    <row r="55" spans="1:115" s="6" customFormat="1" ht="18" customHeight="1" thickBot="1">
      <c r="A55" s="13">
        <v>2003</v>
      </c>
      <c r="B55" s="14" t="s">
        <v>13</v>
      </c>
      <c r="C55" s="97">
        <v>2953483302</v>
      </c>
      <c r="D55" s="98">
        <f t="shared" si="15"/>
        <v>111934334</v>
      </c>
      <c r="E55" s="99">
        <f t="shared" si="16"/>
        <v>261572184</v>
      </c>
      <c r="F55" s="100">
        <v>21249121</v>
      </c>
      <c r="G55" s="98">
        <v>783094</v>
      </c>
      <c r="H55" s="100">
        <v>1868277</v>
      </c>
      <c r="I55" s="101">
        <v>12874993</v>
      </c>
      <c r="J55" s="98">
        <v>6982897</v>
      </c>
      <c r="K55" s="100">
        <v>6198485</v>
      </c>
      <c r="L55" s="98">
        <f>36753004+36172</f>
        <v>36789176</v>
      </c>
      <c r="M55" s="98">
        <v>49088783</v>
      </c>
      <c r="N55" s="102">
        <f t="shared" si="17"/>
        <v>111934334</v>
      </c>
      <c r="O55" s="103">
        <v>480071289</v>
      </c>
      <c r="P55" s="104">
        <v>52467991</v>
      </c>
      <c r="Q55" s="98">
        <v>9463167</v>
      </c>
      <c r="R55" s="98">
        <v>4680606</v>
      </c>
      <c r="S55" s="98">
        <f>74398434-837045</f>
        <v>73561389</v>
      </c>
      <c r="T55" s="98">
        <v>121399031</v>
      </c>
      <c r="U55" s="99">
        <f t="shared" si="18"/>
        <v>261572184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</row>
    <row r="56" spans="1:115" s="24" customFormat="1" ht="18" customHeight="1" thickTop="1" thickBot="1">
      <c r="A56" s="22">
        <v>2003</v>
      </c>
      <c r="B56" s="23" t="s">
        <v>14</v>
      </c>
      <c r="C56" s="105">
        <f t="shared" ref="C56:U56" si="19">SUM(C44:C55)</f>
        <v>35297082429</v>
      </c>
      <c r="D56" s="106">
        <f t="shared" si="19"/>
        <v>1290889555</v>
      </c>
      <c r="E56" s="107">
        <f t="shared" si="19"/>
        <v>3080087039</v>
      </c>
      <c r="F56" s="108">
        <f t="shared" si="19"/>
        <v>253071435</v>
      </c>
      <c r="G56" s="106">
        <f t="shared" si="19"/>
        <v>9091672</v>
      </c>
      <c r="H56" s="108">
        <f t="shared" si="19"/>
        <v>22031735</v>
      </c>
      <c r="I56" s="109">
        <f t="shared" si="19"/>
        <v>150407022</v>
      </c>
      <c r="J56" s="106">
        <f t="shared" si="19"/>
        <v>68645098</v>
      </c>
      <c r="K56" s="108">
        <f t="shared" si="19"/>
        <v>112329353</v>
      </c>
      <c r="L56" s="106">
        <f t="shared" si="19"/>
        <v>393705126</v>
      </c>
      <c r="M56" s="106">
        <f t="shared" si="19"/>
        <v>565802956</v>
      </c>
      <c r="N56" s="110">
        <f t="shared" si="19"/>
        <v>1290889555</v>
      </c>
      <c r="O56" s="111">
        <f t="shared" si="19"/>
        <v>5724996055</v>
      </c>
      <c r="P56" s="112">
        <f t="shared" si="19"/>
        <v>612790084</v>
      </c>
      <c r="Q56" s="106">
        <f t="shared" si="19"/>
        <v>124344010</v>
      </c>
      <c r="R56" s="106">
        <f t="shared" si="19"/>
        <v>89011651</v>
      </c>
      <c r="S56" s="106">
        <f t="shared" si="19"/>
        <v>838059609</v>
      </c>
      <c r="T56" s="106">
        <f t="shared" si="19"/>
        <v>1415881685</v>
      </c>
      <c r="U56" s="107">
        <f t="shared" si="19"/>
        <v>3080087039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ht="18" customHeight="1" thickTop="1">
      <c r="A57" s="13">
        <v>2004</v>
      </c>
      <c r="B57" s="14" t="s">
        <v>2</v>
      </c>
      <c r="C57" s="97">
        <v>2991827740</v>
      </c>
      <c r="D57" s="98">
        <f t="shared" ref="D57:D68" si="20">+N57</f>
        <v>113150479</v>
      </c>
      <c r="E57" s="99">
        <f t="shared" ref="E57:E68" si="21">+U57</f>
        <v>263786852</v>
      </c>
      <c r="F57" s="100">
        <v>21741659</v>
      </c>
      <c r="G57" s="98">
        <v>798644</v>
      </c>
      <c r="H57" s="100">
        <v>1904579</v>
      </c>
      <c r="I57" s="101">
        <v>12855828</v>
      </c>
      <c r="J57" s="98">
        <v>5275900</v>
      </c>
      <c r="K57" s="100">
        <v>7841576</v>
      </c>
      <c r="L57" s="98">
        <f>38037814-731105</f>
        <v>37306709</v>
      </c>
      <c r="M57" s="98">
        <v>49870466</v>
      </c>
      <c r="N57" s="102">
        <f t="shared" ref="N57:N68" si="22">SUM(I57:M57)</f>
        <v>113150479</v>
      </c>
      <c r="O57" s="103">
        <v>487250027</v>
      </c>
      <c r="P57" s="104">
        <v>53220715</v>
      </c>
      <c r="Q57" s="98">
        <v>9480177</v>
      </c>
      <c r="R57" s="98">
        <v>6178580</v>
      </c>
      <c r="S57" s="98">
        <f>71399430+722036</f>
        <v>72121466</v>
      </c>
      <c r="T57" s="98">
        <v>122785914</v>
      </c>
      <c r="U57" s="99">
        <f t="shared" ref="U57:U68" si="23">SUM(P57:T57)</f>
        <v>263786852</v>
      </c>
    </row>
    <row r="58" spans="1:115" ht="18" customHeight="1">
      <c r="A58" s="13">
        <v>2004</v>
      </c>
      <c r="B58" s="14" t="s">
        <v>3</v>
      </c>
      <c r="C58" s="97">
        <v>2852666921</v>
      </c>
      <c r="D58" s="98">
        <f t="shared" si="20"/>
        <v>107086852</v>
      </c>
      <c r="E58" s="99">
        <f t="shared" si="21"/>
        <v>250768078</v>
      </c>
      <c r="F58" s="100">
        <v>20922609</v>
      </c>
      <c r="G58" s="98">
        <v>756421</v>
      </c>
      <c r="H58" s="100">
        <v>1829393</v>
      </c>
      <c r="I58" s="101">
        <v>12044328</v>
      </c>
      <c r="J58" s="98">
        <v>5847432</v>
      </c>
      <c r="K58" s="100">
        <v>9039332</v>
      </c>
      <c r="L58" s="98">
        <f>34279536+243027</f>
        <v>34522563</v>
      </c>
      <c r="M58" s="98">
        <v>45633197</v>
      </c>
      <c r="N58" s="102">
        <f t="shared" si="22"/>
        <v>107086852</v>
      </c>
      <c r="O58" s="103">
        <v>464187754</v>
      </c>
      <c r="P58" s="104">
        <v>50663516</v>
      </c>
      <c r="Q58" s="98">
        <v>9495624</v>
      </c>
      <c r="R58" s="98">
        <v>6553553</v>
      </c>
      <c r="S58" s="98">
        <f>70087091-450953</f>
        <v>69636138</v>
      </c>
      <c r="T58" s="98">
        <v>114419247</v>
      </c>
      <c r="U58" s="99">
        <f t="shared" si="23"/>
        <v>250768078</v>
      </c>
    </row>
    <row r="59" spans="1:115" ht="18" customHeight="1">
      <c r="A59" s="13">
        <v>2004</v>
      </c>
      <c r="B59" s="14" t="s">
        <v>4</v>
      </c>
      <c r="C59" s="97">
        <v>3088170383</v>
      </c>
      <c r="D59" s="98">
        <f t="shared" si="20"/>
        <v>113724547</v>
      </c>
      <c r="E59" s="99">
        <f t="shared" si="21"/>
        <v>270152672</v>
      </c>
      <c r="F59" s="100">
        <v>21505241</v>
      </c>
      <c r="G59" s="98">
        <v>773890</v>
      </c>
      <c r="H59" s="100">
        <v>1870808</v>
      </c>
      <c r="I59" s="101">
        <v>13087152</v>
      </c>
      <c r="J59" s="98">
        <v>7373708</v>
      </c>
      <c r="K59" s="100">
        <v>16578830</v>
      </c>
      <c r="L59" s="98">
        <f>28572935-1120012</f>
        <v>27452923</v>
      </c>
      <c r="M59" s="98">
        <v>49231934</v>
      </c>
      <c r="N59" s="102">
        <f t="shared" si="22"/>
        <v>113724547</v>
      </c>
      <c r="O59" s="103">
        <v>505806732</v>
      </c>
      <c r="P59" s="104">
        <v>55090282</v>
      </c>
      <c r="Q59" s="98">
        <v>11116230</v>
      </c>
      <c r="R59" s="98">
        <v>8693851</v>
      </c>
      <c r="S59" s="98">
        <f>70122647-437829</f>
        <v>69684818</v>
      </c>
      <c r="T59" s="98">
        <v>125567491</v>
      </c>
      <c r="U59" s="99">
        <f t="shared" si="23"/>
        <v>270152672</v>
      </c>
    </row>
    <row r="60" spans="1:115" ht="18" customHeight="1">
      <c r="A60" s="13">
        <v>2004</v>
      </c>
      <c r="B60" s="14" t="s">
        <v>5</v>
      </c>
      <c r="C60" s="97">
        <v>2950317794</v>
      </c>
      <c r="D60" s="98">
        <f t="shared" si="20"/>
        <v>106986808</v>
      </c>
      <c r="E60" s="99">
        <f t="shared" si="21"/>
        <v>258358553</v>
      </c>
      <c r="F60" s="100">
        <v>19888399</v>
      </c>
      <c r="G60" s="98">
        <v>717143</v>
      </c>
      <c r="H60" s="100">
        <v>1734608</v>
      </c>
      <c r="I60" s="101">
        <v>11230909</v>
      </c>
      <c r="J60" s="98">
        <v>6287178</v>
      </c>
      <c r="K60" s="100">
        <v>12497915</v>
      </c>
      <c r="L60" s="98">
        <f>30494558+175530</f>
        <v>30670088</v>
      </c>
      <c r="M60" s="98">
        <v>46300718</v>
      </c>
      <c r="N60" s="102">
        <f t="shared" si="22"/>
        <v>106986808</v>
      </c>
      <c r="O60" s="103">
        <v>427450502</v>
      </c>
      <c r="P60" s="104">
        <v>47116495</v>
      </c>
      <c r="Q60" s="98">
        <v>9274937</v>
      </c>
      <c r="R60" s="98">
        <v>8518216</v>
      </c>
      <c r="S60" s="98">
        <f>75180794-563063</f>
        <v>74617731</v>
      </c>
      <c r="T60" s="98">
        <v>118831174</v>
      </c>
      <c r="U60" s="99">
        <f t="shared" si="23"/>
        <v>258358553</v>
      </c>
    </row>
    <row r="61" spans="1:115" ht="18" customHeight="1">
      <c r="A61" s="13">
        <v>2004</v>
      </c>
      <c r="B61" s="14" t="s">
        <v>6</v>
      </c>
      <c r="C61" s="97">
        <v>3012792305</v>
      </c>
      <c r="D61" s="98">
        <f t="shared" si="20"/>
        <v>107759608</v>
      </c>
      <c r="E61" s="99">
        <f t="shared" si="21"/>
        <v>263450791</v>
      </c>
      <c r="F61" s="100">
        <v>22301618</v>
      </c>
      <c r="G61" s="98">
        <v>803918</v>
      </c>
      <c r="H61" s="100">
        <v>1946475</v>
      </c>
      <c r="I61" s="101">
        <v>9433560</v>
      </c>
      <c r="J61" s="98">
        <v>5995304</v>
      </c>
      <c r="K61" s="100">
        <v>12352945</v>
      </c>
      <c r="L61" s="98">
        <f>30775105+1414554</f>
        <v>32189659</v>
      </c>
      <c r="M61" s="98">
        <v>47788140</v>
      </c>
      <c r="N61" s="102">
        <f t="shared" si="22"/>
        <v>107759608</v>
      </c>
      <c r="O61" s="103">
        <v>374312112</v>
      </c>
      <c r="P61" s="104">
        <v>41964872</v>
      </c>
      <c r="Q61" s="98">
        <v>9389046</v>
      </c>
      <c r="R61" s="98">
        <v>8662208</v>
      </c>
      <c r="S61" s="98">
        <f>78014541+2140506</f>
        <v>80155047</v>
      </c>
      <c r="T61" s="98">
        <v>123279618</v>
      </c>
      <c r="U61" s="99">
        <f t="shared" si="23"/>
        <v>263450791</v>
      </c>
    </row>
    <row r="62" spans="1:115" ht="18" customHeight="1">
      <c r="A62" s="13">
        <v>2004</v>
      </c>
      <c r="B62" s="14" t="s">
        <v>7</v>
      </c>
      <c r="C62" s="97">
        <v>2886621154</v>
      </c>
      <c r="D62" s="98">
        <f t="shared" si="20"/>
        <v>103000951</v>
      </c>
      <c r="E62" s="99">
        <f t="shared" si="21"/>
        <v>252008674</v>
      </c>
      <c r="F62" s="100">
        <v>20335531</v>
      </c>
      <c r="G62" s="98">
        <v>773822</v>
      </c>
      <c r="H62" s="100">
        <v>1871906</v>
      </c>
      <c r="I62" s="101">
        <v>9520187</v>
      </c>
      <c r="J62" s="98">
        <v>5309274</v>
      </c>
      <c r="K62" s="100">
        <v>8578275</v>
      </c>
      <c r="L62" s="98">
        <f>36086909-934576</f>
        <v>35152333</v>
      </c>
      <c r="M62" s="98">
        <v>44440882</v>
      </c>
      <c r="N62" s="102">
        <f t="shared" si="22"/>
        <v>103000951</v>
      </c>
      <c r="O62" s="103">
        <v>366199280</v>
      </c>
      <c r="P62" s="104">
        <v>40909474</v>
      </c>
      <c r="Q62" s="98">
        <v>8405822</v>
      </c>
      <c r="R62" s="98">
        <v>8092540</v>
      </c>
      <c r="S62" s="98">
        <f>77698975-1124715</f>
        <v>76574260</v>
      </c>
      <c r="T62" s="98">
        <v>118026578</v>
      </c>
      <c r="U62" s="99">
        <f t="shared" si="23"/>
        <v>252008674</v>
      </c>
    </row>
    <row r="63" spans="1:115" ht="18" customHeight="1">
      <c r="A63" s="13">
        <v>2004</v>
      </c>
      <c r="B63" s="14" t="s">
        <v>8</v>
      </c>
      <c r="C63" s="97">
        <v>2943563985</v>
      </c>
      <c r="D63" s="98">
        <f t="shared" si="20"/>
        <v>104620132</v>
      </c>
      <c r="E63" s="99">
        <f t="shared" si="21"/>
        <v>256436580</v>
      </c>
      <c r="F63" s="100">
        <v>22007858</v>
      </c>
      <c r="G63" s="98">
        <v>793965</v>
      </c>
      <c r="H63" s="100">
        <v>1914253</v>
      </c>
      <c r="I63" s="101">
        <v>9963118</v>
      </c>
      <c r="J63" s="98">
        <v>5210807</v>
      </c>
      <c r="K63" s="100">
        <v>7661207</v>
      </c>
      <c r="L63" s="98">
        <f>36226905+229637</f>
        <v>36456542</v>
      </c>
      <c r="M63" s="98">
        <v>45328458</v>
      </c>
      <c r="N63" s="102">
        <f t="shared" si="22"/>
        <v>104620132</v>
      </c>
      <c r="O63" s="103">
        <v>380125964</v>
      </c>
      <c r="P63" s="104">
        <v>42307276</v>
      </c>
      <c r="Q63" s="98">
        <v>8119388</v>
      </c>
      <c r="R63" s="98">
        <v>7578635</v>
      </c>
      <c r="S63" s="98">
        <f>75783692+707894</f>
        <v>76491586</v>
      </c>
      <c r="T63" s="98">
        <v>121939695</v>
      </c>
      <c r="U63" s="99">
        <f t="shared" si="23"/>
        <v>256436580</v>
      </c>
    </row>
    <row r="64" spans="1:115" ht="18" customHeight="1">
      <c r="A64" s="13">
        <v>2004</v>
      </c>
      <c r="B64" s="14" t="s">
        <v>9</v>
      </c>
      <c r="C64" s="97">
        <v>2945500188</v>
      </c>
      <c r="D64" s="98">
        <f t="shared" si="20"/>
        <v>105683342</v>
      </c>
      <c r="E64" s="99">
        <f t="shared" si="21"/>
        <v>257332903</v>
      </c>
      <c r="F64" s="100">
        <v>22007843</v>
      </c>
      <c r="G64" s="98">
        <v>792759</v>
      </c>
      <c r="H64" s="100">
        <v>1917898</v>
      </c>
      <c r="I64" s="101">
        <v>10779191</v>
      </c>
      <c r="J64" s="98">
        <v>5639030</v>
      </c>
      <c r="K64" s="100">
        <v>8049860</v>
      </c>
      <c r="L64" s="98">
        <f>35522462-250036</f>
        <v>35272426</v>
      </c>
      <c r="M64" s="98">
        <v>45942835</v>
      </c>
      <c r="N64" s="102">
        <f t="shared" si="22"/>
        <v>105683342</v>
      </c>
      <c r="O64" s="103">
        <v>416037168</v>
      </c>
      <c r="P64" s="104">
        <v>46161131</v>
      </c>
      <c r="Q64" s="98">
        <v>9921010</v>
      </c>
      <c r="R64" s="98">
        <v>7921733</v>
      </c>
      <c r="S64" s="98">
        <f>73582994-492833</f>
        <v>73090161</v>
      </c>
      <c r="T64" s="98">
        <v>120238868</v>
      </c>
      <c r="U64" s="99">
        <f t="shared" si="23"/>
        <v>257332903</v>
      </c>
    </row>
    <row r="65" spans="1:115" ht="18" customHeight="1">
      <c r="A65" s="13">
        <v>2004</v>
      </c>
      <c r="B65" s="14" t="s">
        <v>10</v>
      </c>
      <c r="C65" s="97">
        <v>2843327522</v>
      </c>
      <c r="D65" s="98">
        <f t="shared" si="20"/>
        <v>103643741</v>
      </c>
      <c r="E65" s="99">
        <f t="shared" si="21"/>
        <v>249604061</v>
      </c>
      <c r="F65" s="100">
        <v>21158672</v>
      </c>
      <c r="G65" s="98">
        <v>770775</v>
      </c>
      <c r="H65" s="100">
        <v>1849835</v>
      </c>
      <c r="I65" s="101">
        <v>10612056</v>
      </c>
      <c r="J65" s="98">
        <v>5253405</v>
      </c>
      <c r="K65" s="100">
        <v>7640528</v>
      </c>
      <c r="L65" s="98">
        <f>34459593-241090</f>
        <v>34218503</v>
      </c>
      <c r="M65" s="98">
        <v>45919249</v>
      </c>
      <c r="N65" s="102">
        <f t="shared" si="22"/>
        <v>103643741</v>
      </c>
      <c r="O65" s="103">
        <v>418677630</v>
      </c>
      <c r="P65" s="104">
        <v>46526465</v>
      </c>
      <c r="Q65" s="98">
        <v>8791332</v>
      </c>
      <c r="R65" s="98">
        <v>6754630</v>
      </c>
      <c r="S65" s="98">
        <f>68199232-413300</f>
        <v>67785932</v>
      </c>
      <c r="T65" s="98">
        <v>119745702</v>
      </c>
      <c r="U65" s="99">
        <f t="shared" si="23"/>
        <v>249604061</v>
      </c>
    </row>
    <row r="66" spans="1:115" ht="18" customHeight="1">
      <c r="A66" s="13">
        <v>2004</v>
      </c>
      <c r="B66" s="14" t="s">
        <v>11</v>
      </c>
      <c r="C66" s="97">
        <v>2946197154</v>
      </c>
      <c r="D66" s="98">
        <f t="shared" si="20"/>
        <v>109213261</v>
      </c>
      <c r="E66" s="99">
        <f t="shared" si="21"/>
        <v>260141595</v>
      </c>
      <c r="F66" s="100">
        <v>21736097</v>
      </c>
      <c r="G66" s="98">
        <v>803012</v>
      </c>
      <c r="H66" s="100">
        <v>1915158</v>
      </c>
      <c r="I66" s="101">
        <v>10538924</v>
      </c>
      <c r="J66" s="98">
        <v>6240358</v>
      </c>
      <c r="K66" s="100">
        <v>7313331</v>
      </c>
      <c r="L66" s="98">
        <f>36976512+739166</f>
        <v>37715678</v>
      </c>
      <c r="M66" s="98">
        <v>47404970</v>
      </c>
      <c r="N66" s="102">
        <f t="shared" si="22"/>
        <v>109213261</v>
      </c>
      <c r="O66" s="103">
        <v>417557288</v>
      </c>
      <c r="P66" s="104">
        <v>46576895</v>
      </c>
      <c r="Q66" s="98">
        <v>9249216</v>
      </c>
      <c r="R66" s="98">
        <v>6199395</v>
      </c>
      <c r="S66" s="98">
        <f>74320530+920478</f>
        <v>75241008</v>
      </c>
      <c r="T66" s="98">
        <v>122875081</v>
      </c>
      <c r="U66" s="99">
        <f t="shared" si="23"/>
        <v>260141595</v>
      </c>
    </row>
    <row r="67" spans="1:115" ht="18" customHeight="1">
      <c r="A67" s="13">
        <v>2004</v>
      </c>
      <c r="B67" s="14" t="s">
        <v>12</v>
      </c>
      <c r="C67" s="97">
        <v>2833327406</v>
      </c>
      <c r="D67" s="98">
        <f t="shared" si="20"/>
        <v>107129241</v>
      </c>
      <c r="E67" s="99">
        <f t="shared" si="21"/>
        <v>252093237</v>
      </c>
      <c r="F67" s="100">
        <v>20942621</v>
      </c>
      <c r="G67" s="98">
        <v>777434</v>
      </c>
      <c r="H67" s="100">
        <v>1852837</v>
      </c>
      <c r="I67" s="101">
        <v>10196373</v>
      </c>
      <c r="J67" s="98">
        <v>8698700</v>
      </c>
      <c r="K67" s="100">
        <v>6455932</v>
      </c>
      <c r="L67" s="98">
        <f>33597093-272475</f>
        <v>33324618</v>
      </c>
      <c r="M67" s="98">
        <v>48453618</v>
      </c>
      <c r="N67" s="102">
        <f t="shared" si="22"/>
        <v>107129241</v>
      </c>
      <c r="O67" s="103">
        <v>403405889</v>
      </c>
      <c r="P67" s="104">
        <v>44913170</v>
      </c>
      <c r="Q67" s="98">
        <v>10042928</v>
      </c>
      <c r="R67" s="98">
        <v>5610706</v>
      </c>
      <c r="S67" s="98">
        <f>68766996-33700</f>
        <v>68733296</v>
      </c>
      <c r="T67" s="98">
        <v>122793137</v>
      </c>
      <c r="U67" s="99">
        <f t="shared" si="23"/>
        <v>252093237</v>
      </c>
    </row>
    <row r="68" spans="1:115" s="6" customFormat="1" ht="18" customHeight="1" thickBot="1">
      <c r="A68" s="15">
        <v>2004</v>
      </c>
      <c r="B68" s="7" t="s">
        <v>13</v>
      </c>
      <c r="C68" s="113">
        <v>2960136282</v>
      </c>
      <c r="D68" s="114">
        <f t="shared" si="20"/>
        <v>112424990</v>
      </c>
      <c r="E68" s="115">
        <f t="shared" si="21"/>
        <v>262571008</v>
      </c>
      <c r="F68" s="116">
        <v>21741739</v>
      </c>
      <c r="G68" s="114">
        <v>805046</v>
      </c>
      <c r="H68" s="116">
        <v>1914491</v>
      </c>
      <c r="I68" s="117">
        <v>10541695</v>
      </c>
      <c r="J68" s="114">
        <v>6768935</v>
      </c>
      <c r="K68" s="116">
        <v>4524568</v>
      </c>
      <c r="L68" s="114">
        <f>38322551-221448</f>
        <v>38101103</v>
      </c>
      <c r="M68" s="114">
        <v>52488689</v>
      </c>
      <c r="N68" s="118">
        <f t="shared" si="22"/>
        <v>112424990</v>
      </c>
      <c r="O68" s="119">
        <v>404368507</v>
      </c>
      <c r="P68" s="120">
        <v>44888749</v>
      </c>
      <c r="Q68" s="114">
        <v>8910591</v>
      </c>
      <c r="R68" s="114">
        <v>4088787</v>
      </c>
      <c r="S68" s="114">
        <f>74578965-404382</f>
        <v>74174583</v>
      </c>
      <c r="T68" s="114">
        <v>130508298</v>
      </c>
      <c r="U68" s="115">
        <f t="shared" si="23"/>
        <v>262571008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</row>
    <row r="69" spans="1:115" s="24" customFormat="1" ht="18" customHeight="1" thickTop="1" thickBot="1">
      <c r="A69" s="20">
        <v>2004</v>
      </c>
      <c r="B69" s="21" t="s">
        <v>14</v>
      </c>
      <c r="C69" s="121">
        <f t="shared" ref="C69:U69" si="24">SUM(C57:C68)</f>
        <v>35254448834</v>
      </c>
      <c r="D69" s="122">
        <f t="shared" si="24"/>
        <v>1294423952</v>
      </c>
      <c r="E69" s="123">
        <f t="shared" si="24"/>
        <v>3096705004</v>
      </c>
      <c r="F69" s="124">
        <f t="shared" si="24"/>
        <v>256289887</v>
      </c>
      <c r="G69" s="122">
        <f t="shared" si="24"/>
        <v>9366829</v>
      </c>
      <c r="H69" s="124">
        <f t="shared" si="24"/>
        <v>22522241</v>
      </c>
      <c r="I69" s="125">
        <f t="shared" si="24"/>
        <v>130803321</v>
      </c>
      <c r="J69" s="122">
        <f t="shared" si="24"/>
        <v>73900031</v>
      </c>
      <c r="K69" s="124">
        <f t="shared" si="24"/>
        <v>108534299</v>
      </c>
      <c r="L69" s="122">
        <f t="shared" si="24"/>
        <v>412383145</v>
      </c>
      <c r="M69" s="122">
        <f t="shared" si="24"/>
        <v>568803156</v>
      </c>
      <c r="N69" s="126">
        <f t="shared" si="24"/>
        <v>1294423952</v>
      </c>
      <c r="O69" s="127">
        <f t="shared" si="24"/>
        <v>5065378853</v>
      </c>
      <c r="P69" s="128">
        <f t="shared" si="24"/>
        <v>560339040</v>
      </c>
      <c r="Q69" s="122">
        <f t="shared" si="24"/>
        <v>112196301</v>
      </c>
      <c r="R69" s="122">
        <f t="shared" si="24"/>
        <v>84852834</v>
      </c>
      <c r="S69" s="122">
        <f t="shared" si="24"/>
        <v>878306026</v>
      </c>
      <c r="T69" s="122">
        <f t="shared" si="24"/>
        <v>1461010803</v>
      </c>
      <c r="U69" s="123">
        <f t="shared" si="24"/>
        <v>3096705004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</row>
    <row r="70" spans="1:115" ht="18" customHeight="1" thickTop="1">
      <c r="A70" s="13">
        <v>2005</v>
      </c>
      <c r="B70" s="14" t="s">
        <v>2</v>
      </c>
      <c r="C70" s="97">
        <v>2931519182</v>
      </c>
      <c r="D70" s="98">
        <f t="shared" ref="D70:D81" si="25">+N70</f>
        <v>111697514</v>
      </c>
      <c r="E70" s="99">
        <f t="shared" ref="E70:E81" si="26">+U70</f>
        <v>259070434</v>
      </c>
      <c r="F70" s="100">
        <v>21866883</v>
      </c>
      <c r="G70" s="98">
        <v>805569</v>
      </c>
      <c r="H70" s="100">
        <v>1923298</v>
      </c>
      <c r="I70" s="101">
        <v>10192538</v>
      </c>
      <c r="J70" s="98">
        <v>4814604</v>
      </c>
      <c r="K70" s="100">
        <v>5775316</v>
      </c>
      <c r="L70" s="98">
        <f>38137921+478579</f>
        <v>38616500</v>
      </c>
      <c r="M70" s="98">
        <v>52298556</v>
      </c>
      <c r="N70" s="102">
        <f t="shared" ref="N70:N81" si="27">SUM(I70:M70)</f>
        <v>111697514</v>
      </c>
      <c r="O70" s="103">
        <v>406730289</v>
      </c>
      <c r="P70" s="104">
        <v>45231725</v>
      </c>
      <c r="Q70" s="98">
        <v>9174410</v>
      </c>
      <c r="R70" s="98">
        <v>5861711</v>
      </c>
      <c r="S70" s="98">
        <f>67704009+663546</f>
        <v>68367555</v>
      </c>
      <c r="T70" s="98">
        <v>130435033</v>
      </c>
      <c r="U70" s="99">
        <f t="shared" ref="U70:U81" si="28">SUM(P70:T70)</f>
        <v>259070434</v>
      </c>
    </row>
    <row r="71" spans="1:115" ht="18" customHeight="1">
      <c r="A71" s="13">
        <v>2005</v>
      </c>
      <c r="B71" s="14" t="s">
        <v>3</v>
      </c>
      <c r="C71" s="97">
        <v>2700465870</v>
      </c>
      <c r="D71" s="98">
        <f t="shared" si="25"/>
        <v>100695327</v>
      </c>
      <c r="E71" s="99">
        <f t="shared" si="26"/>
        <v>237800056</v>
      </c>
      <c r="F71" s="100">
        <v>20007382</v>
      </c>
      <c r="G71" s="98">
        <v>727281</v>
      </c>
      <c r="H71" s="100">
        <v>1751599</v>
      </c>
      <c r="I71" s="101">
        <v>9262171</v>
      </c>
      <c r="J71" s="98">
        <v>5072457</v>
      </c>
      <c r="K71" s="100">
        <v>6373811</v>
      </c>
      <c r="L71" s="98">
        <f>34817201-298751</f>
        <v>34518450</v>
      </c>
      <c r="M71" s="98">
        <v>45468438</v>
      </c>
      <c r="N71" s="102">
        <f t="shared" si="27"/>
        <v>100695327</v>
      </c>
      <c r="O71" s="103">
        <v>372897582</v>
      </c>
      <c r="P71" s="104">
        <v>41416524</v>
      </c>
      <c r="Q71" s="98">
        <v>9120605</v>
      </c>
      <c r="R71" s="98">
        <v>5845991</v>
      </c>
      <c r="S71" s="98">
        <f>64750793-438432</f>
        <v>64312361</v>
      </c>
      <c r="T71" s="98">
        <v>117104575</v>
      </c>
      <c r="U71" s="99">
        <f t="shared" si="28"/>
        <v>237800056</v>
      </c>
    </row>
    <row r="72" spans="1:115" ht="18" customHeight="1">
      <c r="A72" s="13">
        <v>2005</v>
      </c>
      <c r="B72" s="14" t="s">
        <v>4</v>
      </c>
      <c r="C72" s="97">
        <v>3058049109</v>
      </c>
      <c r="D72" s="98">
        <f t="shared" si="25"/>
        <v>111865873</v>
      </c>
      <c r="E72" s="99">
        <f t="shared" si="26"/>
        <v>268575727</v>
      </c>
      <c r="F72" s="100">
        <v>20417066</v>
      </c>
      <c r="G72" s="98">
        <v>750246</v>
      </c>
      <c r="H72" s="100">
        <v>1785506</v>
      </c>
      <c r="I72" s="101">
        <v>10282183</v>
      </c>
      <c r="J72" s="98">
        <v>5948142</v>
      </c>
      <c r="K72" s="100">
        <v>8113507</v>
      </c>
      <c r="L72" s="98">
        <f>37364525-466508</f>
        <v>36898017</v>
      </c>
      <c r="M72" s="98">
        <v>50624024</v>
      </c>
      <c r="N72" s="102">
        <f t="shared" si="27"/>
        <v>111865873</v>
      </c>
      <c r="O72" s="103">
        <v>409642255</v>
      </c>
      <c r="P72" s="104">
        <v>45447788</v>
      </c>
      <c r="Q72" s="98">
        <v>9476841</v>
      </c>
      <c r="R72" s="98">
        <v>7475137</v>
      </c>
      <c r="S72" s="98">
        <f>73989335-158413</f>
        <v>73830922</v>
      </c>
      <c r="T72" s="98">
        <v>132345039</v>
      </c>
      <c r="U72" s="99">
        <f t="shared" si="28"/>
        <v>268575727</v>
      </c>
    </row>
    <row r="73" spans="1:115" ht="18" customHeight="1">
      <c r="A73" s="13">
        <v>2005</v>
      </c>
      <c r="B73" s="14" t="s">
        <v>5</v>
      </c>
      <c r="C73" s="97">
        <v>3023663202</v>
      </c>
      <c r="D73" s="98">
        <f t="shared" si="25"/>
        <v>110253382</v>
      </c>
      <c r="E73" s="99">
        <f t="shared" si="26"/>
        <v>266159947</v>
      </c>
      <c r="F73" s="100">
        <v>20905766</v>
      </c>
      <c r="G73" s="98">
        <v>763355</v>
      </c>
      <c r="H73" s="100">
        <v>1833042</v>
      </c>
      <c r="I73" s="101">
        <v>9607065</v>
      </c>
      <c r="J73" s="98">
        <v>5286124</v>
      </c>
      <c r="K73" s="100">
        <v>8471451</v>
      </c>
      <c r="L73" s="98">
        <f>36004265+218381</f>
        <v>36222646</v>
      </c>
      <c r="M73" s="98">
        <v>50666096</v>
      </c>
      <c r="N73" s="102">
        <f t="shared" si="27"/>
        <v>110253382</v>
      </c>
      <c r="O73" s="103">
        <v>386703256</v>
      </c>
      <c r="P73" s="104">
        <v>42921021</v>
      </c>
      <c r="Q73" s="98">
        <v>9755279</v>
      </c>
      <c r="R73" s="98">
        <v>7606501</v>
      </c>
      <c r="S73" s="98">
        <f>73416138+835125</f>
        <v>74251263</v>
      </c>
      <c r="T73" s="98">
        <v>131625883</v>
      </c>
      <c r="U73" s="99">
        <f t="shared" si="28"/>
        <v>266159947</v>
      </c>
    </row>
    <row r="74" spans="1:115" ht="18" customHeight="1">
      <c r="A74" s="13">
        <v>2005</v>
      </c>
      <c r="B74" s="14" t="s">
        <v>6</v>
      </c>
      <c r="C74" s="97">
        <v>3122012990</v>
      </c>
      <c r="D74" s="98">
        <f t="shared" si="25"/>
        <v>112291301</v>
      </c>
      <c r="E74" s="99">
        <f t="shared" si="26"/>
        <v>272948342</v>
      </c>
      <c r="F74" s="100">
        <v>22368816</v>
      </c>
      <c r="G74" s="98">
        <v>808027</v>
      </c>
      <c r="H74" s="100">
        <v>1938185</v>
      </c>
      <c r="I74" s="101">
        <v>9872426</v>
      </c>
      <c r="J74" s="98">
        <v>5758506</v>
      </c>
      <c r="K74" s="100">
        <v>9113999</v>
      </c>
      <c r="L74" s="98">
        <f>35541514+38286</f>
        <v>35579800</v>
      </c>
      <c r="M74" s="98">
        <v>51966570</v>
      </c>
      <c r="N74" s="102">
        <f t="shared" si="27"/>
        <v>112291301</v>
      </c>
      <c r="O74" s="103">
        <v>402339888</v>
      </c>
      <c r="P74" s="104">
        <v>44662502</v>
      </c>
      <c r="Q74" s="98">
        <v>9619042</v>
      </c>
      <c r="R74" s="98">
        <v>8429933</v>
      </c>
      <c r="S74" s="98">
        <f>73901103-118954</f>
        <v>73782149</v>
      </c>
      <c r="T74" s="98">
        <v>136454716</v>
      </c>
      <c r="U74" s="99">
        <f t="shared" si="28"/>
        <v>272948342</v>
      </c>
    </row>
    <row r="75" spans="1:115" ht="18" customHeight="1">
      <c r="A75" s="13">
        <v>2005</v>
      </c>
      <c r="B75" s="14" t="s">
        <v>7</v>
      </c>
      <c r="C75" s="97">
        <v>3021603498</v>
      </c>
      <c r="D75" s="98">
        <f t="shared" si="25"/>
        <v>107582927</v>
      </c>
      <c r="E75" s="99">
        <f t="shared" si="26"/>
        <v>264057008</v>
      </c>
      <c r="F75" s="100">
        <v>20425959</v>
      </c>
      <c r="G75" s="98">
        <v>738094</v>
      </c>
      <c r="H75" s="100">
        <v>1775741</v>
      </c>
      <c r="I75" s="101">
        <v>9727183</v>
      </c>
      <c r="J75" s="98">
        <v>5975367</v>
      </c>
      <c r="K75" s="100">
        <v>9681842</v>
      </c>
      <c r="L75" s="98">
        <f>34284213-523734</f>
        <v>33760479</v>
      </c>
      <c r="M75" s="98">
        <v>48438056</v>
      </c>
      <c r="N75" s="102">
        <f t="shared" si="27"/>
        <v>107582927</v>
      </c>
      <c r="O75" s="103">
        <v>383190332</v>
      </c>
      <c r="P75" s="104">
        <v>42482257</v>
      </c>
      <c r="Q75" s="98">
        <v>10102136</v>
      </c>
      <c r="R75" s="98">
        <v>8646546</v>
      </c>
      <c r="S75" s="98">
        <f>72088634-790744</f>
        <v>71297890</v>
      </c>
      <c r="T75" s="98">
        <v>131528179</v>
      </c>
      <c r="U75" s="99">
        <f t="shared" si="28"/>
        <v>264057008</v>
      </c>
    </row>
    <row r="76" spans="1:115" ht="18" customHeight="1">
      <c r="A76" s="13">
        <v>2005</v>
      </c>
      <c r="B76" s="14" t="s">
        <v>8</v>
      </c>
      <c r="C76" s="97">
        <v>2960482328</v>
      </c>
      <c r="D76" s="98">
        <f t="shared" si="25"/>
        <v>105437939</v>
      </c>
      <c r="E76" s="99">
        <f t="shared" si="26"/>
        <v>256665272</v>
      </c>
      <c r="F76" s="100">
        <v>22248700</v>
      </c>
      <c r="G76" s="98">
        <v>799037</v>
      </c>
      <c r="H76" s="100">
        <v>1921052</v>
      </c>
      <c r="I76" s="101">
        <v>9562570</v>
      </c>
      <c r="J76" s="98">
        <v>6586532</v>
      </c>
      <c r="K76" s="100">
        <v>10512522</v>
      </c>
      <c r="L76" s="98">
        <f>29239559+818212</f>
        <v>30057771</v>
      </c>
      <c r="M76" s="98">
        <v>48718544</v>
      </c>
      <c r="N76" s="102">
        <f t="shared" si="27"/>
        <v>105437939</v>
      </c>
      <c r="O76" s="103">
        <v>372269720</v>
      </c>
      <c r="P76" s="104">
        <v>41261647</v>
      </c>
      <c r="Q76" s="98">
        <v>9914889</v>
      </c>
      <c r="R76" s="98">
        <v>8538630</v>
      </c>
      <c r="S76" s="98">
        <f>66179470+929052</f>
        <v>67108522</v>
      </c>
      <c r="T76" s="98">
        <v>129841584</v>
      </c>
      <c r="U76" s="99">
        <f t="shared" si="28"/>
        <v>256665272</v>
      </c>
    </row>
    <row r="77" spans="1:115" ht="18" customHeight="1">
      <c r="A77" s="13">
        <v>2005</v>
      </c>
      <c r="B77" s="14" t="s">
        <v>9</v>
      </c>
      <c r="C77" s="97">
        <v>2999149787</v>
      </c>
      <c r="D77" s="98">
        <f t="shared" si="25"/>
        <v>106366444</v>
      </c>
      <c r="E77" s="99">
        <f t="shared" si="26"/>
        <v>261498787</v>
      </c>
      <c r="F77" s="100">
        <v>21984742</v>
      </c>
      <c r="G77" s="98">
        <v>794962</v>
      </c>
      <c r="H77" s="100">
        <v>1906944</v>
      </c>
      <c r="I77" s="101">
        <v>10240571</v>
      </c>
      <c r="J77" s="98">
        <v>6688698</v>
      </c>
      <c r="K77" s="100">
        <v>10799992</v>
      </c>
      <c r="L77" s="98">
        <f>31148533-583612</f>
        <v>30564921</v>
      </c>
      <c r="M77" s="98">
        <v>48072262</v>
      </c>
      <c r="N77" s="102">
        <f t="shared" si="27"/>
        <v>106366444</v>
      </c>
      <c r="O77" s="103">
        <v>405151304</v>
      </c>
      <c r="P77" s="104">
        <v>45014073</v>
      </c>
      <c r="Q77" s="98">
        <v>11050719</v>
      </c>
      <c r="R77" s="98">
        <v>8606809</v>
      </c>
      <c r="S77" s="98">
        <f>68288261-737911</f>
        <v>67550350</v>
      </c>
      <c r="T77" s="98">
        <v>129276836</v>
      </c>
      <c r="U77" s="99">
        <f t="shared" si="28"/>
        <v>261498787</v>
      </c>
    </row>
    <row r="78" spans="1:115" ht="18" customHeight="1">
      <c r="A78" s="13">
        <v>2005</v>
      </c>
      <c r="B78" s="14" t="s">
        <v>10</v>
      </c>
      <c r="C78" s="97">
        <v>2929572871</v>
      </c>
      <c r="D78" s="98">
        <f t="shared" si="25"/>
        <v>106401569</v>
      </c>
      <c r="E78" s="99">
        <f t="shared" si="26"/>
        <v>258157704</v>
      </c>
      <c r="F78" s="100">
        <v>21189417</v>
      </c>
      <c r="G78" s="98">
        <v>774877</v>
      </c>
      <c r="H78" s="100">
        <v>1854705</v>
      </c>
      <c r="I78" s="101">
        <v>10413138</v>
      </c>
      <c r="J78" s="98">
        <v>6079985</v>
      </c>
      <c r="K78" s="100">
        <v>8518529</v>
      </c>
      <c r="L78" s="98">
        <f>34277344-19269</f>
        <v>34258075</v>
      </c>
      <c r="M78" s="98">
        <v>47131842</v>
      </c>
      <c r="N78" s="102">
        <f t="shared" si="27"/>
        <v>106401569</v>
      </c>
      <c r="O78" s="103">
        <v>418725108</v>
      </c>
      <c r="P78" s="104">
        <v>46743060</v>
      </c>
      <c r="Q78" s="98">
        <v>9744147</v>
      </c>
      <c r="R78" s="98">
        <v>6878251</v>
      </c>
      <c r="S78" s="98">
        <f>71862352-583721</f>
        <v>71278631</v>
      </c>
      <c r="T78" s="98">
        <v>123513615</v>
      </c>
      <c r="U78" s="99">
        <f t="shared" si="28"/>
        <v>258157704</v>
      </c>
    </row>
    <row r="79" spans="1:115" ht="18" customHeight="1">
      <c r="A79" s="13">
        <v>2005</v>
      </c>
      <c r="B79" s="14" t="s">
        <v>11</v>
      </c>
      <c r="C79" s="97">
        <v>2994948383</v>
      </c>
      <c r="D79" s="98">
        <f t="shared" si="25"/>
        <v>111074392</v>
      </c>
      <c r="E79" s="99">
        <f t="shared" si="26"/>
        <v>265456947</v>
      </c>
      <c r="F79" s="100">
        <v>21738459</v>
      </c>
      <c r="G79" s="98">
        <v>799539</v>
      </c>
      <c r="H79" s="100">
        <v>1909740</v>
      </c>
      <c r="I79" s="101">
        <v>10232223</v>
      </c>
      <c r="J79" s="98">
        <v>6509963</v>
      </c>
      <c r="K79" s="100">
        <v>8014594</v>
      </c>
      <c r="L79" s="98">
        <f>36055777+192229</f>
        <v>36248006</v>
      </c>
      <c r="M79" s="98">
        <v>50069606</v>
      </c>
      <c r="N79" s="102">
        <f t="shared" si="27"/>
        <v>111074392</v>
      </c>
      <c r="O79" s="103">
        <v>421740467</v>
      </c>
      <c r="P79" s="104">
        <v>47061160</v>
      </c>
      <c r="Q79" s="98">
        <v>10047382</v>
      </c>
      <c r="R79" s="98">
        <v>7278846</v>
      </c>
      <c r="S79" s="98">
        <f>71568221+635288</f>
        <v>72203509</v>
      </c>
      <c r="T79" s="98">
        <v>128866050</v>
      </c>
      <c r="U79" s="99">
        <f t="shared" si="28"/>
        <v>265456947</v>
      </c>
    </row>
    <row r="80" spans="1:115" ht="18" customHeight="1">
      <c r="A80" s="13">
        <v>2005</v>
      </c>
      <c r="B80" s="14" t="s">
        <v>12</v>
      </c>
      <c r="C80" s="97">
        <v>2906250059</v>
      </c>
      <c r="D80" s="98">
        <f t="shared" si="25"/>
        <v>108744712</v>
      </c>
      <c r="E80" s="99">
        <f t="shared" si="26"/>
        <v>258181075</v>
      </c>
      <c r="F80" s="100">
        <v>20921662</v>
      </c>
      <c r="G80" s="98">
        <v>772927</v>
      </c>
      <c r="H80" s="100">
        <v>1839339</v>
      </c>
      <c r="I80" s="101">
        <v>10112801</v>
      </c>
      <c r="J80" s="98">
        <v>7695857</v>
      </c>
      <c r="K80" s="100">
        <v>5900787</v>
      </c>
      <c r="L80" s="98">
        <f>35483558+171668</f>
        <v>35655226</v>
      </c>
      <c r="M80" s="98">
        <v>49380041</v>
      </c>
      <c r="N80" s="102">
        <f t="shared" si="27"/>
        <v>108744712</v>
      </c>
      <c r="O80" s="103">
        <v>407885181</v>
      </c>
      <c r="P80" s="104">
        <v>45354146</v>
      </c>
      <c r="Q80" s="98">
        <v>10490342</v>
      </c>
      <c r="R80" s="98">
        <v>5871984</v>
      </c>
      <c r="S80" s="98">
        <f>68538943+237785</f>
        <v>68776728</v>
      </c>
      <c r="T80" s="98">
        <v>127687875</v>
      </c>
      <c r="U80" s="99">
        <f t="shared" si="28"/>
        <v>258181075</v>
      </c>
    </row>
    <row r="81" spans="1:115" s="6" customFormat="1" ht="18" customHeight="1" thickBot="1">
      <c r="A81" s="13">
        <v>2005</v>
      </c>
      <c r="B81" s="14" t="s">
        <v>13</v>
      </c>
      <c r="C81" s="97">
        <v>3029354996</v>
      </c>
      <c r="D81" s="98">
        <f t="shared" si="25"/>
        <v>114263530</v>
      </c>
      <c r="E81" s="99">
        <f t="shared" si="26"/>
        <v>269254340</v>
      </c>
      <c r="F81" s="100">
        <v>21925914</v>
      </c>
      <c r="G81" s="98">
        <v>808173</v>
      </c>
      <c r="H81" s="100">
        <v>1925966</v>
      </c>
      <c r="I81" s="101">
        <v>10158081</v>
      </c>
      <c r="J81" s="98">
        <v>7172869</v>
      </c>
      <c r="K81" s="100">
        <v>4015019</v>
      </c>
      <c r="L81" s="98">
        <f>42571953+621644</f>
        <v>43193597</v>
      </c>
      <c r="M81" s="98">
        <v>49723964</v>
      </c>
      <c r="N81" s="102">
        <f t="shared" si="27"/>
        <v>114263530</v>
      </c>
      <c r="O81" s="103">
        <v>399376135</v>
      </c>
      <c r="P81" s="104">
        <v>44367115</v>
      </c>
      <c r="Q81" s="98">
        <v>10280478</v>
      </c>
      <c r="R81" s="98">
        <v>4115214</v>
      </c>
      <c r="S81" s="98">
        <f>78080790+72953</f>
        <v>78153743</v>
      </c>
      <c r="T81" s="98">
        <v>132337790</v>
      </c>
      <c r="U81" s="99">
        <f t="shared" si="28"/>
        <v>269254340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</row>
    <row r="82" spans="1:115" s="24" customFormat="1" ht="18" customHeight="1" thickTop="1" thickBot="1">
      <c r="A82" s="22">
        <v>2005</v>
      </c>
      <c r="B82" s="23" t="s">
        <v>14</v>
      </c>
      <c r="C82" s="105">
        <f t="shared" ref="C82:U82" si="29">SUM(C70:C81)</f>
        <v>35677072275</v>
      </c>
      <c r="D82" s="106">
        <f t="shared" si="29"/>
        <v>1306674910</v>
      </c>
      <c r="E82" s="107">
        <f t="shared" si="29"/>
        <v>3137825639</v>
      </c>
      <c r="F82" s="108">
        <f t="shared" si="29"/>
        <v>256000766</v>
      </c>
      <c r="G82" s="106">
        <f t="shared" si="29"/>
        <v>9342087</v>
      </c>
      <c r="H82" s="108">
        <f t="shared" si="29"/>
        <v>22365117</v>
      </c>
      <c r="I82" s="109">
        <f t="shared" si="29"/>
        <v>119662950</v>
      </c>
      <c r="J82" s="106">
        <f t="shared" si="29"/>
        <v>73589104</v>
      </c>
      <c r="K82" s="108">
        <f t="shared" si="29"/>
        <v>95291369</v>
      </c>
      <c r="L82" s="106">
        <f t="shared" si="29"/>
        <v>425573488</v>
      </c>
      <c r="M82" s="106">
        <f t="shared" si="29"/>
        <v>592557999</v>
      </c>
      <c r="N82" s="110">
        <f t="shared" si="29"/>
        <v>1306674910</v>
      </c>
      <c r="O82" s="111">
        <f t="shared" si="29"/>
        <v>4786651517</v>
      </c>
      <c r="P82" s="112">
        <f t="shared" si="29"/>
        <v>531963018</v>
      </c>
      <c r="Q82" s="106">
        <f t="shared" si="29"/>
        <v>118776270</v>
      </c>
      <c r="R82" s="106">
        <f t="shared" si="29"/>
        <v>85155553</v>
      </c>
      <c r="S82" s="106">
        <f t="shared" si="29"/>
        <v>850913623</v>
      </c>
      <c r="T82" s="106">
        <f t="shared" si="29"/>
        <v>1551017175</v>
      </c>
      <c r="U82" s="107">
        <f t="shared" si="29"/>
        <v>3137825639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</row>
    <row r="83" spans="1:115" ht="18" customHeight="1" thickTop="1">
      <c r="A83" s="13">
        <v>2006</v>
      </c>
      <c r="B83" s="14" t="s">
        <v>2</v>
      </c>
      <c r="C83" s="97">
        <v>3081193292</v>
      </c>
      <c r="D83" s="98">
        <f t="shared" ref="D83:D94" si="30">+N83</f>
        <v>116075479</v>
      </c>
      <c r="E83" s="99">
        <f t="shared" ref="E83:E94" si="31">+U83</f>
        <v>273097516</v>
      </c>
      <c r="F83" s="100">
        <v>22161234</v>
      </c>
      <c r="G83" s="98">
        <v>813410</v>
      </c>
      <c r="H83" s="100">
        <v>1937697</v>
      </c>
      <c r="I83" s="101">
        <v>10122317</v>
      </c>
      <c r="J83" s="98">
        <v>5547887</v>
      </c>
      <c r="K83" s="100">
        <v>6718423</v>
      </c>
      <c r="L83" s="98">
        <f>42834667+501460</f>
        <v>43336127</v>
      </c>
      <c r="M83" s="98">
        <v>50350725</v>
      </c>
      <c r="N83" s="102">
        <f t="shared" ref="N83:N94" si="32">SUM(I83:M83)</f>
        <v>116075479</v>
      </c>
      <c r="O83" s="103">
        <v>422972963</v>
      </c>
      <c r="P83" s="104">
        <v>47101950</v>
      </c>
      <c r="Q83" s="98">
        <v>9779456</v>
      </c>
      <c r="R83" s="98">
        <v>6241677</v>
      </c>
      <c r="S83" s="98">
        <f>77408842+606646</f>
        <v>78015488</v>
      </c>
      <c r="T83" s="98">
        <v>131958945</v>
      </c>
      <c r="U83" s="99">
        <f t="shared" ref="U83:U94" si="33">SUM(P83:T83)</f>
        <v>273097516</v>
      </c>
    </row>
    <row r="84" spans="1:115" ht="18" customHeight="1">
      <c r="A84" s="13">
        <v>2006</v>
      </c>
      <c r="B84" s="14" t="s">
        <v>3</v>
      </c>
      <c r="C84" s="97">
        <v>2888241672</v>
      </c>
      <c r="D84" s="98">
        <f t="shared" si="30"/>
        <v>107700628</v>
      </c>
      <c r="E84" s="99">
        <f t="shared" si="31"/>
        <v>255589329</v>
      </c>
      <c r="F84" s="100">
        <v>20293606</v>
      </c>
      <c r="G84" s="98">
        <v>739072</v>
      </c>
      <c r="H84" s="100">
        <v>1771801</v>
      </c>
      <c r="I84" s="101">
        <v>9226728</v>
      </c>
      <c r="J84" s="98">
        <v>5418750</v>
      </c>
      <c r="K84" s="100">
        <v>6091835</v>
      </c>
      <c r="L84" s="98">
        <f>40973744-568494</f>
        <v>40405250</v>
      </c>
      <c r="M84" s="98">
        <v>46558065</v>
      </c>
      <c r="N84" s="102">
        <f t="shared" si="32"/>
        <v>107700628</v>
      </c>
      <c r="O84" s="103">
        <v>374145625</v>
      </c>
      <c r="P84" s="104">
        <v>41699356</v>
      </c>
      <c r="Q84" s="98">
        <v>9555690</v>
      </c>
      <c r="R84" s="98">
        <v>6180151</v>
      </c>
      <c r="S84" s="98">
        <f>71840837+241264</f>
        <v>72082101</v>
      </c>
      <c r="T84" s="98">
        <v>126072031</v>
      </c>
      <c r="U84" s="99">
        <f t="shared" si="33"/>
        <v>255589329</v>
      </c>
    </row>
    <row r="85" spans="1:115" ht="18" customHeight="1">
      <c r="A85" s="13">
        <v>2006</v>
      </c>
      <c r="B85" s="14" t="s">
        <v>4</v>
      </c>
      <c r="C85" s="97">
        <v>3253389969</v>
      </c>
      <c r="D85" s="98">
        <f t="shared" si="30"/>
        <v>121447457</v>
      </c>
      <c r="E85" s="99">
        <f t="shared" si="31"/>
        <v>288602683</v>
      </c>
      <c r="F85" s="100">
        <v>22430415</v>
      </c>
      <c r="G85" s="98">
        <v>818259</v>
      </c>
      <c r="H85" s="100">
        <v>1971717</v>
      </c>
      <c r="I85" s="101">
        <v>10632172</v>
      </c>
      <c r="J85" s="98">
        <v>6019000</v>
      </c>
      <c r="K85" s="100">
        <v>8196871</v>
      </c>
      <c r="L85" s="98">
        <f>44544653-423377</f>
        <v>44121276</v>
      </c>
      <c r="M85" s="98">
        <v>52478138</v>
      </c>
      <c r="N85" s="102">
        <f t="shared" si="32"/>
        <v>121447457</v>
      </c>
      <c r="O85" s="103">
        <v>432830451</v>
      </c>
      <c r="P85" s="104">
        <v>48304235</v>
      </c>
      <c r="Q85" s="98">
        <v>10195003</v>
      </c>
      <c r="R85" s="98">
        <v>7623762</v>
      </c>
      <c r="S85" s="98">
        <f>81619963-1231167</f>
        <v>80388796</v>
      </c>
      <c r="T85" s="98">
        <v>142090887</v>
      </c>
      <c r="U85" s="99">
        <f t="shared" si="33"/>
        <v>288602683</v>
      </c>
    </row>
    <row r="86" spans="1:115" ht="18" customHeight="1">
      <c r="A86" s="13">
        <v>2006</v>
      </c>
      <c r="B86" s="14" t="s">
        <v>5</v>
      </c>
      <c r="C86" s="97">
        <v>3137789129</v>
      </c>
      <c r="D86" s="98">
        <f t="shared" si="30"/>
        <v>115924966</v>
      </c>
      <c r="E86" s="99">
        <f t="shared" si="31"/>
        <v>277063567</v>
      </c>
      <c r="F86" s="100">
        <v>21753910</v>
      </c>
      <c r="G86" s="98">
        <v>787271</v>
      </c>
      <c r="H86" s="100">
        <v>1902782</v>
      </c>
      <c r="I86" s="101">
        <v>9501154</v>
      </c>
      <c r="J86" s="98">
        <v>5859178</v>
      </c>
      <c r="K86" s="100">
        <v>7830074</v>
      </c>
      <c r="L86" s="98">
        <f>40137469+973252</f>
        <v>41110721</v>
      </c>
      <c r="M86" s="98">
        <v>51623839</v>
      </c>
      <c r="N86" s="102">
        <f t="shared" si="32"/>
        <v>115924966</v>
      </c>
      <c r="O86" s="103">
        <v>384980100</v>
      </c>
      <c r="P86" s="104">
        <v>42765463</v>
      </c>
      <c r="Q86" s="98">
        <v>9888005</v>
      </c>
      <c r="R86" s="98">
        <v>7382303</v>
      </c>
      <c r="S86" s="98">
        <f>76722360+1293615</f>
        <v>78015975</v>
      </c>
      <c r="T86" s="98">
        <v>139011821</v>
      </c>
      <c r="U86" s="99">
        <f t="shared" si="33"/>
        <v>277063567</v>
      </c>
    </row>
    <row r="87" spans="1:115" ht="18" customHeight="1">
      <c r="A87" s="13">
        <v>2006</v>
      </c>
      <c r="B87" s="14" t="s">
        <v>6</v>
      </c>
      <c r="C87" s="97">
        <v>3203678441</v>
      </c>
      <c r="D87" s="98">
        <f t="shared" si="30"/>
        <v>114831390</v>
      </c>
      <c r="E87" s="99">
        <f t="shared" si="31"/>
        <v>280479093</v>
      </c>
      <c r="F87" s="100">
        <v>22682992</v>
      </c>
      <c r="G87" s="98">
        <v>818259</v>
      </c>
      <c r="H87" s="100">
        <v>1971717</v>
      </c>
      <c r="I87" s="101">
        <v>10080524</v>
      </c>
      <c r="J87" s="98">
        <v>6313098</v>
      </c>
      <c r="K87" s="100">
        <v>8781956</v>
      </c>
      <c r="L87" s="98">
        <f>39614952-1178658</f>
        <v>38436294</v>
      </c>
      <c r="M87" s="98">
        <v>51219518</v>
      </c>
      <c r="N87" s="102">
        <f t="shared" si="32"/>
        <v>114831390</v>
      </c>
      <c r="O87" s="103">
        <v>418192991</v>
      </c>
      <c r="P87" s="104">
        <v>46485191</v>
      </c>
      <c r="Q87" s="98">
        <v>10555802</v>
      </c>
      <c r="R87" s="98">
        <v>8104708</v>
      </c>
      <c r="S87" s="98">
        <f>75409949-516407</f>
        <v>74893542</v>
      </c>
      <c r="T87" s="98">
        <v>140439850</v>
      </c>
      <c r="U87" s="99">
        <f t="shared" si="33"/>
        <v>280479093</v>
      </c>
    </row>
    <row r="88" spans="1:115" ht="18" customHeight="1">
      <c r="A88" s="13">
        <v>2006</v>
      </c>
      <c r="B88" s="14" t="s">
        <v>7</v>
      </c>
      <c r="C88" s="97">
        <v>3036537888</v>
      </c>
      <c r="D88" s="98">
        <f t="shared" si="30"/>
        <v>108485155</v>
      </c>
      <c r="E88" s="99">
        <f t="shared" si="31"/>
        <v>265159986</v>
      </c>
      <c r="F88" s="100">
        <v>22075142</v>
      </c>
      <c r="G88" s="98">
        <v>791863</v>
      </c>
      <c r="H88" s="100">
        <v>1908114</v>
      </c>
      <c r="I88" s="101">
        <v>9838490</v>
      </c>
      <c r="J88" s="98">
        <v>6050901</v>
      </c>
      <c r="K88" s="100">
        <v>9652554</v>
      </c>
      <c r="L88" s="98">
        <f>35398949-941458</f>
        <v>34457491</v>
      </c>
      <c r="M88" s="98">
        <v>48485719</v>
      </c>
      <c r="N88" s="102">
        <f t="shared" si="32"/>
        <v>108485155</v>
      </c>
      <c r="O88" s="103">
        <v>391162157</v>
      </c>
      <c r="P88" s="104">
        <v>43403401</v>
      </c>
      <c r="Q88" s="98">
        <v>9991992</v>
      </c>
      <c r="R88" s="98">
        <v>8679595</v>
      </c>
      <c r="S88" s="98">
        <f>72390424-1981940</f>
        <v>70408484</v>
      </c>
      <c r="T88" s="98">
        <v>132676514</v>
      </c>
      <c r="U88" s="99">
        <f t="shared" si="33"/>
        <v>265159986</v>
      </c>
    </row>
    <row r="89" spans="1:115" ht="18" customHeight="1">
      <c r="A89" s="13">
        <v>2006</v>
      </c>
      <c r="B89" s="14" t="s">
        <v>8</v>
      </c>
      <c r="C89" s="97">
        <v>2948076768</v>
      </c>
      <c r="D89" s="98">
        <f t="shared" si="30"/>
        <v>104826243</v>
      </c>
      <c r="E89" s="99">
        <f t="shared" si="31"/>
        <v>254988667</v>
      </c>
      <c r="F89" s="100">
        <v>22859613</v>
      </c>
      <c r="G89" s="98">
        <v>813050</v>
      </c>
      <c r="H89" s="100">
        <v>1963798</v>
      </c>
      <c r="I89" s="101">
        <v>9769474</v>
      </c>
      <c r="J89" s="98">
        <v>5895931</v>
      </c>
      <c r="K89" s="100">
        <v>9600954</v>
      </c>
      <c r="L89" s="98">
        <f>30859516+921007</f>
        <v>31780523</v>
      </c>
      <c r="M89" s="98">
        <v>47779361</v>
      </c>
      <c r="N89" s="102">
        <f t="shared" si="32"/>
        <v>104826243</v>
      </c>
      <c r="O89" s="103">
        <v>384196224</v>
      </c>
      <c r="P89" s="104">
        <v>42598114</v>
      </c>
      <c r="Q89" s="98">
        <v>10568262</v>
      </c>
      <c r="R89" s="98">
        <v>8547015</v>
      </c>
      <c r="S89" s="98">
        <f>62371933+870242</f>
        <v>63242175</v>
      </c>
      <c r="T89" s="98">
        <v>130033101</v>
      </c>
      <c r="U89" s="99">
        <f t="shared" si="33"/>
        <v>254988667</v>
      </c>
    </row>
    <row r="90" spans="1:115" ht="18" customHeight="1">
      <c r="A90" s="13">
        <v>2006</v>
      </c>
      <c r="B90" s="14" t="s">
        <v>9</v>
      </c>
      <c r="C90" s="97">
        <v>3115121167</v>
      </c>
      <c r="D90" s="98">
        <f t="shared" si="30"/>
        <v>110418087</v>
      </c>
      <c r="E90" s="99">
        <f t="shared" si="31"/>
        <v>272388053</v>
      </c>
      <c r="F90" s="100">
        <v>22811161</v>
      </c>
      <c r="G90" s="98">
        <v>818259</v>
      </c>
      <c r="H90" s="100">
        <v>1971717</v>
      </c>
      <c r="I90" s="101">
        <v>10413768</v>
      </c>
      <c r="J90" s="98">
        <v>7505356</v>
      </c>
      <c r="K90" s="100">
        <v>10447061</v>
      </c>
      <c r="L90" s="98">
        <f>31436444-317131</f>
        <v>31119313</v>
      </c>
      <c r="M90" s="98">
        <v>50932589</v>
      </c>
      <c r="N90" s="102">
        <f t="shared" si="32"/>
        <v>110418087</v>
      </c>
      <c r="O90" s="103">
        <v>418261500</v>
      </c>
      <c r="P90" s="104">
        <v>46485379</v>
      </c>
      <c r="Q90" s="98">
        <v>11434141</v>
      </c>
      <c r="R90" s="98">
        <v>8813860</v>
      </c>
      <c r="S90" s="98">
        <f>65977586-572793</f>
        <v>65404793</v>
      </c>
      <c r="T90" s="98">
        <v>140249880</v>
      </c>
      <c r="U90" s="99">
        <f t="shared" si="33"/>
        <v>272388053</v>
      </c>
    </row>
    <row r="91" spans="1:115" ht="18" customHeight="1">
      <c r="A91" s="13">
        <v>2006</v>
      </c>
      <c r="B91" s="14" t="s">
        <v>10</v>
      </c>
      <c r="C91" s="97">
        <v>2979084353</v>
      </c>
      <c r="D91" s="98">
        <f t="shared" si="30"/>
        <v>108268812</v>
      </c>
      <c r="E91" s="99">
        <f t="shared" si="31"/>
        <v>262021545</v>
      </c>
      <c r="F91" s="100">
        <v>21756178</v>
      </c>
      <c r="G91" s="98">
        <v>786612</v>
      </c>
      <c r="H91" s="100">
        <v>1900847</v>
      </c>
      <c r="I91" s="101">
        <v>9749348</v>
      </c>
      <c r="J91" s="98">
        <v>6586749</v>
      </c>
      <c r="K91" s="100">
        <v>7632680</v>
      </c>
      <c r="L91" s="98">
        <f>33410655+738492</f>
        <v>34149147</v>
      </c>
      <c r="M91" s="98">
        <v>50150888</v>
      </c>
      <c r="N91" s="102">
        <f t="shared" si="32"/>
        <v>108268812</v>
      </c>
      <c r="O91" s="103">
        <v>406298944</v>
      </c>
      <c r="P91" s="104">
        <v>45278907</v>
      </c>
      <c r="Q91" s="98">
        <v>10481173</v>
      </c>
      <c r="R91" s="98">
        <v>6245941</v>
      </c>
      <c r="S91" s="98">
        <f>64861033+1301030</f>
        <v>66162063</v>
      </c>
      <c r="T91" s="98">
        <v>133853461</v>
      </c>
      <c r="U91" s="99">
        <f t="shared" si="33"/>
        <v>262021545</v>
      </c>
    </row>
    <row r="92" spans="1:115" ht="18" customHeight="1">
      <c r="A92" s="13">
        <v>2006</v>
      </c>
      <c r="B92" s="14" t="s">
        <v>11</v>
      </c>
      <c r="C92" s="97">
        <v>3059971380</v>
      </c>
      <c r="D92" s="98">
        <f t="shared" si="30"/>
        <v>113016575</v>
      </c>
      <c r="E92" s="99">
        <f t="shared" si="31"/>
        <v>271214684</v>
      </c>
      <c r="F92" s="100">
        <v>22386568</v>
      </c>
      <c r="G92" s="98">
        <v>818259</v>
      </c>
      <c r="H92" s="100">
        <v>1971717</v>
      </c>
      <c r="I92" s="101">
        <v>10471987</v>
      </c>
      <c r="J92" s="98">
        <v>6986990</v>
      </c>
      <c r="K92" s="100">
        <v>6860753</v>
      </c>
      <c r="L92" s="98">
        <f>36880220-110588</f>
        <v>36769632</v>
      </c>
      <c r="M92" s="98">
        <v>51927213</v>
      </c>
      <c r="N92" s="102">
        <f t="shared" si="32"/>
        <v>113016575</v>
      </c>
      <c r="O92" s="103">
        <v>441755242</v>
      </c>
      <c r="P92" s="104">
        <v>49027519</v>
      </c>
      <c r="Q92" s="98">
        <v>11750153</v>
      </c>
      <c r="R92" s="98">
        <v>6468877</v>
      </c>
      <c r="S92" s="98">
        <f>67881016-51399</f>
        <v>67829617</v>
      </c>
      <c r="T92" s="98">
        <v>136138518</v>
      </c>
      <c r="U92" s="99">
        <f t="shared" si="33"/>
        <v>271214684</v>
      </c>
    </row>
    <row r="93" spans="1:115" ht="18" customHeight="1">
      <c r="A93" s="13">
        <v>2006</v>
      </c>
      <c r="B93" s="14" t="s">
        <v>12</v>
      </c>
      <c r="C93" s="97">
        <v>2976977143</v>
      </c>
      <c r="D93" s="98">
        <f t="shared" si="30"/>
        <v>110653929</v>
      </c>
      <c r="E93" s="99">
        <f t="shared" si="31"/>
        <v>264434060</v>
      </c>
      <c r="F93" s="100">
        <v>20901620</v>
      </c>
      <c r="G93" s="98">
        <v>764263</v>
      </c>
      <c r="H93" s="100">
        <v>1839408</v>
      </c>
      <c r="I93" s="101">
        <v>10058942</v>
      </c>
      <c r="J93" s="98">
        <v>8223379</v>
      </c>
      <c r="K93" s="100">
        <v>6281373</v>
      </c>
      <c r="L93" s="98">
        <f>36625045+201366</f>
        <v>36826411</v>
      </c>
      <c r="M93" s="98">
        <v>49263824</v>
      </c>
      <c r="N93" s="102">
        <f t="shared" si="32"/>
        <v>110653929</v>
      </c>
      <c r="O93" s="103">
        <v>414765480</v>
      </c>
      <c r="P93" s="104">
        <v>46170063</v>
      </c>
      <c r="Q93" s="98">
        <v>11057281</v>
      </c>
      <c r="R93" s="98">
        <v>6003986</v>
      </c>
      <c r="S93" s="98">
        <f>70928905+278466</f>
        <v>71207371</v>
      </c>
      <c r="T93" s="98">
        <v>129995359</v>
      </c>
      <c r="U93" s="99">
        <f t="shared" si="33"/>
        <v>264434060</v>
      </c>
    </row>
    <row r="94" spans="1:115" s="6" customFormat="1" ht="18" customHeight="1" thickBot="1">
      <c r="A94" s="15">
        <v>2006</v>
      </c>
      <c r="B94" s="7" t="s">
        <v>13</v>
      </c>
      <c r="C94" s="113">
        <v>3135626270</v>
      </c>
      <c r="D94" s="114">
        <f t="shared" si="30"/>
        <v>118494368</v>
      </c>
      <c r="E94" s="115">
        <f t="shared" si="31"/>
        <v>278391337</v>
      </c>
      <c r="F94" s="116">
        <v>21574853</v>
      </c>
      <c r="G94" s="114">
        <v>789739</v>
      </c>
      <c r="H94" s="116">
        <v>1897852</v>
      </c>
      <c r="I94" s="117">
        <v>10126018</v>
      </c>
      <c r="J94" s="114">
        <v>7036926</v>
      </c>
      <c r="K94" s="116">
        <v>4079507</v>
      </c>
      <c r="L94" s="114">
        <f>42290685+1564793</f>
        <v>43855478</v>
      </c>
      <c r="M94" s="114">
        <v>53396439</v>
      </c>
      <c r="N94" s="118">
        <f t="shared" si="32"/>
        <v>118494368</v>
      </c>
      <c r="O94" s="119">
        <v>406353154</v>
      </c>
      <c r="P94" s="120">
        <v>45166922</v>
      </c>
      <c r="Q94" s="114">
        <v>10842272</v>
      </c>
      <c r="R94" s="114">
        <v>4053204</v>
      </c>
      <c r="S94" s="114">
        <f>77976218+299312</f>
        <v>78275530</v>
      </c>
      <c r="T94" s="114">
        <v>140053409</v>
      </c>
      <c r="U94" s="115">
        <f t="shared" si="33"/>
        <v>278391337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</row>
    <row r="95" spans="1:115" s="24" customFormat="1" ht="18" customHeight="1" thickTop="1" thickBot="1">
      <c r="A95" s="20">
        <v>2006</v>
      </c>
      <c r="B95" s="21" t="s">
        <v>14</v>
      </c>
      <c r="C95" s="121">
        <f t="shared" ref="C95:U95" si="34">SUM(C83:C94)</f>
        <v>36815687472</v>
      </c>
      <c r="D95" s="122">
        <f t="shared" si="34"/>
        <v>1350143089</v>
      </c>
      <c r="E95" s="123">
        <f t="shared" si="34"/>
        <v>3243430520</v>
      </c>
      <c r="F95" s="124">
        <f t="shared" si="34"/>
        <v>263687292</v>
      </c>
      <c r="G95" s="122">
        <f t="shared" si="34"/>
        <v>9558316</v>
      </c>
      <c r="H95" s="124">
        <f t="shared" si="34"/>
        <v>23009167</v>
      </c>
      <c r="I95" s="125">
        <f t="shared" si="34"/>
        <v>119990922</v>
      </c>
      <c r="J95" s="122">
        <f t="shared" si="34"/>
        <v>77444145</v>
      </c>
      <c r="K95" s="124">
        <f t="shared" si="34"/>
        <v>92174041</v>
      </c>
      <c r="L95" s="122">
        <f t="shared" si="34"/>
        <v>456367663</v>
      </c>
      <c r="M95" s="122">
        <f t="shared" si="34"/>
        <v>604166318</v>
      </c>
      <c r="N95" s="126">
        <f t="shared" si="34"/>
        <v>1350143089</v>
      </c>
      <c r="O95" s="127">
        <f t="shared" si="34"/>
        <v>4895914831</v>
      </c>
      <c r="P95" s="128">
        <f t="shared" si="34"/>
        <v>544486500</v>
      </c>
      <c r="Q95" s="122">
        <f t="shared" si="34"/>
        <v>126099230</v>
      </c>
      <c r="R95" s="122">
        <f t="shared" si="34"/>
        <v>84345079</v>
      </c>
      <c r="S95" s="122">
        <f t="shared" si="34"/>
        <v>865925935</v>
      </c>
      <c r="T95" s="122">
        <f t="shared" si="34"/>
        <v>1622573776</v>
      </c>
      <c r="U95" s="123">
        <f t="shared" si="34"/>
        <v>3243430520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18" customHeight="1" thickTop="1">
      <c r="A96" s="13">
        <v>2007</v>
      </c>
      <c r="B96" s="14" t="s">
        <v>2</v>
      </c>
      <c r="C96" s="97">
        <v>3195511507</v>
      </c>
      <c r="D96" s="98">
        <f t="shared" ref="D96:D107" si="35">+N96</f>
        <v>121268907</v>
      </c>
      <c r="E96" s="99">
        <f t="shared" ref="E96:E107" si="36">+U96</f>
        <v>283629737</v>
      </c>
      <c r="F96" s="100">
        <v>21672931</v>
      </c>
      <c r="G96" s="98">
        <v>789739</v>
      </c>
      <c r="H96" s="100">
        <v>1900721</v>
      </c>
      <c r="I96" s="101">
        <v>10542432</v>
      </c>
      <c r="J96" s="98">
        <v>6016691</v>
      </c>
      <c r="K96" s="100">
        <v>6004043</v>
      </c>
      <c r="L96" s="98">
        <f>46708852-1127145</f>
        <v>45581707</v>
      </c>
      <c r="M96" s="98">
        <v>53124034</v>
      </c>
      <c r="N96" s="102">
        <f t="shared" ref="N96:N107" si="37">SUM(I96:M96)</f>
        <v>121268907</v>
      </c>
      <c r="O96" s="103">
        <v>440094381</v>
      </c>
      <c r="P96" s="104">
        <v>48877249</v>
      </c>
      <c r="Q96" s="98">
        <v>10898622</v>
      </c>
      <c r="R96" s="98">
        <v>6188682</v>
      </c>
      <c r="S96" s="98">
        <f>75983301+77204</f>
        <v>76060505</v>
      </c>
      <c r="T96" s="98">
        <v>141604679</v>
      </c>
      <c r="U96" s="99">
        <f t="shared" ref="U96:U107" si="38">SUM(P96:T96)</f>
        <v>283629737</v>
      </c>
    </row>
    <row r="97" spans="1:115" ht="18" customHeight="1">
      <c r="A97" s="13">
        <v>2006</v>
      </c>
      <c r="B97" s="14" t="s">
        <v>3</v>
      </c>
      <c r="C97" s="97">
        <v>2979476804</v>
      </c>
      <c r="D97" s="98">
        <f t="shared" si="35"/>
        <v>111281228</v>
      </c>
      <c r="E97" s="99">
        <f t="shared" si="36"/>
        <v>263014147</v>
      </c>
      <c r="F97" s="100">
        <v>19674064</v>
      </c>
      <c r="G97" s="98">
        <v>712312</v>
      </c>
      <c r="H97" s="100">
        <v>1716780</v>
      </c>
      <c r="I97" s="101">
        <v>9236606</v>
      </c>
      <c r="J97" s="98">
        <v>5440305</v>
      </c>
      <c r="K97" s="100">
        <v>6701876</v>
      </c>
      <c r="L97" s="98">
        <f>41654092+68264</f>
        <v>41722356</v>
      </c>
      <c r="M97" s="98">
        <v>48180085</v>
      </c>
      <c r="N97" s="102">
        <f t="shared" si="37"/>
        <v>111281228</v>
      </c>
      <c r="O97" s="103">
        <v>385647310</v>
      </c>
      <c r="P97" s="104">
        <v>42673481</v>
      </c>
      <c r="Q97" s="98">
        <v>9462475</v>
      </c>
      <c r="R97" s="98">
        <v>6638702</v>
      </c>
      <c r="S97" s="98">
        <f>72534536-472990</f>
        <v>72061546</v>
      </c>
      <c r="T97" s="98">
        <v>132177943</v>
      </c>
      <c r="U97" s="99">
        <f t="shared" si="38"/>
        <v>263014147</v>
      </c>
    </row>
    <row r="98" spans="1:115" ht="18" customHeight="1">
      <c r="A98" s="13">
        <v>2007</v>
      </c>
      <c r="B98" s="14" t="s">
        <v>4</v>
      </c>
      <c r="C98" s="97">
        <v>3357490999</v>
      </c>
      <c r="D98" s="98">
        <f t="shared" si="35"/>
        <v>123842860</v>
      </c>
      <c r="E98" s="99">
        <f t="shared" si="36"/>
        <v>295352700</v>
      </c>
      <c r="F98" s="100">
        <v>21811725</v>
      </c>
      <c r="G98" s="98">
        <v>789739</v>
      </c>
      <c r="H98" s="100">
        <v>1900721</v>
      </c>
      <c r="I98" s="101">
        <v>10156961</v>
      </c>
      <c r="J98" s="98">
        <v>6637275</v>
      </c>
      <c r="K98" s="100">
        <v>7698313</v>
      </c>
      <c r="L98" s="98">
        <f>44974825+118366</f>
        <v>45093191</v>
      </c>
      <c r="M98" s="98">
        <v>54257120</v>
      </c>
      <c r="N98" s="102">
        <f t="shared" si="37"/>
        <v>123842860</v>
      </c>
      <c r="O98" s="103">
        <v>425991682</v>
      </c>
      <c r="P98" s="104">
        <v>47147578</v>
      </c>
      <c r="Q98" s="98">
        <v>11363120</v>
      </c>
      <c r="R98" s="98">
        <v>7770009</v>
      </c>
      <c r="S98" s="98">
        <f>78957712+703667</f>
        <v>79661379</v>
      </c>
      <c r="T98" s="98">
        <v>149410614</v>
      </c>
      <c r="U98" s="99">
        <f t="shared" si="38"/>
        <v>295352700</v>
      </c>
    </row>
    <row r="99" spans="1:115" ht="18" customHeight="1">
      <c r="A99" s="13">
        <v>2007</v>
      </c>
      <c r="B99" s="14" t="s">
        <v>5</v>
      </c>
      <c r="C99" s="97">
        <v>3256061174</v>
      </c>
      <c r="D99" s="98">
        <f t="shared" si="35"/>
        <v>118337420</v>
      </c>
      <c r="E99" s="99">
        <f t="shared" si="36"/>
        <v>286511269</v>
      </c>
      <c r="F99" s="100">
        <v>21036343</v>
      </c>
      <c r="G99" s="98">
        <v>763568</v>
      </c>
      <c r="H99" s="100">
        <v>1839408</v>
      </c>
      <c r="I99" s="101">
        <v>10331763</v>
      </c>
      <c r="J99" s="98">
        <v>6607228</v>
      </c>
      <c r="K99" s="100">
        <v>8741338</v>
      </c>
      <c r="L99" s="98">
        <f>42484409-558013</f>
        <v>41926396</v>
      </c>
      <c r="M99" s="98">
        <v>50730695</v>
      </c>
      <c r="N99" s="102">
        <f t="shared" si="37"/>
        <v>118337420</v>
      </c>
      <c r="O99" s="103">
        <v>417846535</v>
      </c>
      <c r="P99" s="104">
        <v>46350000</v>
      </c>
      <c r="Q99" s="98">
        <v>10531813</v>
      </c>
      <c r="R99" s="98">
        <v>10316833</v>
      </c>
      <c r="S99" s="98">
        <f>78200805-432307</f>
        <v>77768498</v>
      </c>
      <c r="T99" s="98">
        <v>141544125</v>
      </c>
      <c r="U99" s="99">
        <f t="shared" si="38"/>
        <v>286511269</v>
      </c>
    </row>
    <row r="100" spans="1:115" ht="18" customHeight="1">
      <c r="A100" s="13">
        <v>2007</v>
      </c>
      <c r="B100" s="14" t="s">
        <v>6</v>
      </c>
      <c r="C100" s="97">
        <v>3280493557</v>
      </c>
      <c r="D100" s="98">
        <f t="shared" si="35"/>
        <v>117581620</v>
      </c>
      <c r="E100" s="99">
        <f t="shared" si="36"/>
        <v>288462665</v>
      </c>
      <c r="F100" s="100">
        <v>21757546</v>
      </c>
      <c r="G100" s="98">
        <v>789739</v>
      </c>
      <c r="H100" s="100">
        <v>1900721</v>
      </c>
      <c r="I100" s="101">
        <v>10351468</v>
      </c>
      <c r="J100" s="98">
        <v>7823818</v>
      </c>
      <c r="K100" s="100">
        <v>10052889</v>
      </c>
      <c r="L100" s="98">
        <f>38673933-1092032</f>
        <v>37581901</v>
      </c>
      <c r="M100" s="98">
        <v>51771544</v>
      </c>
      <c r="N100" s="102">
        <f t="shared" si="37"/>
        <v>117581620</v>
      </c>
      <c r="O100" s="103">
        <v>435970837</v>
      </c>
      <c r="P100" s="104">
        <v>48547234</v>
      </c>
      <c r="Q100" s="98">
        <v>11411154</v>
      </c>
      <c r="R100" s="98">
        <v>9828947</v>
      </c>
      <c r="S100" s="98">
        <f>73742745-1276005</f>
        <v>72466740</v>
      </c>
      <c r="T100" s="98">
        <v>146208590</v>
      </c>
      <c r="U100" s="99">
        <f t="shared" si="38"/>
        <v>288462665</v>
      </c>
    </row>
    <row r="101" spans="1:115" ht="18" customHeight="1">
      <c r="A101" s="13">
        <v>2007</v>
      </c>
      <c r="B101" s="14" t="s">
        <v>7</v>
      </c>
      <c r="C101" s="97">
        <v>3150118076</v>
      </c>
      <c r="D101" s="98">
        <f t="shared" si="35"/>
        <v>112854587</v>
      </c>
      <c r="E101" s="99">
        <f t="shared" si="36"/>
        <v>276080961</v>
      </c>
      <c r="F101" s="100">
        <v>21155689</v>
      </c>
      <c r="G101" s="98">
        <v>764263</v>
      </c>
      <c r="H101" s="100">
        <v>1839408</v>
      </c>
      <c r="I101" s="101">
        <v>9615069</v>
      </c>
      <c r="J101" s="98">
        <v>7247378</v>
      </c>
      <c r="K101" s="100">
        <v>9477391</v>
      </c>
      <c r="L101" s="98">
        <f>35505113+1189722</f>
        <v>36694835</v>
      </c>
      <c r="M101" s="98">
        <v>49819914</v>
      </c>
      <c r="N101" s="102">
        <f t="shared" si="37"/>
        <v>112854587</v>
      </c>
      <c r="O101" s="103">
        <v>386835574</v>
      </c>
      <c r="P101" s="104">
        <v>42874628</v>
      </c>
      <c r="Q101" s="98">
        <v>11333235</v>
      </c>
      <c r="R101" s="98">
        <v>9513451</v>
      </c>
      <c r="S101" s="98">
        <f>72566251+1723516</f>
        <v>74289767</v>
      </c>
      <c r="T101" s="98">
        <v>138069880</v>
      </c>
      <c r="U101" s="99">
        <f t="shared" si="38"/>
        <v>276080961</v>
      </c>
    </row>
    <row r="102" spans="1:115" ht="18" customHeight="1">
      <c r="A102" s="13">
        <v>2007</v>
      </c>
      <c r="B102" s="14" t="s">
        <v>8</v>
      </c>
      <c r="C102" s="97">
        <v>3266618425</v>
      </c>
      <c r="D102" s="98">
        <f t="shared" si="35"/>
        <v>116309808</v>
      </c>
      <c r="E102" s="99">
        <f t="shared" si="36"/>
        <v>285151830</v>
      </c>
      <c r="F102" s="100">
        <f>13362852+8515666</f>
        <v>21878518</v>
      </c>
      <c r="G102" s="98">
        <f>476038+309051</f>
        <v>785089</v>
      </c>
      <c r="H102" s="100">
        <f>1160822+727691</f>
        <v>1888513</v>
      </c>
      <c r="I102" s="101">
        <v>10708264</v>
      </c>
      <c r="J102" s="98">
        <v>7417295</v>
      </c>
      <c r="K102" s="100">
        <v>9006407</v>
      </c>
      <c r="L102" s="98">
        <f>38428224-43447</f>
        <v>38384777</v>
      </c>
      <c r="M102" s="98">
        <v>50793065</v>
      </c>
      <c r="N102" s="102">
        <f t="shared" si="37"/>
        <v>116309808</v>
      </c>
      <c r="O102" s="103">
        <v>413771452</v>
      </c>
      <c r="P102" s="104">
        <v>45707413</v>
      </c>
      <c r="Q102" s="98">
        <v>11641329</v>
      </c>
      <c r="R102" s="98">
        <v>9533452</v>
      </c>
      <c r="S102" s="98">
        <f>77651461-608111</f>
        <v>77043350</v>
      </c>
      <c r="T102" s="98">
        <v>141226286</v>
      </c>
      <c r="U102" s="99">
        <f t="shared" si="38"/>
        <v>285151830</v>
      </c>
    </row>
    <row r="103" spans="1:115" ht="18" customHeight="1">
      <c r="A103" s="13">
        <v>2007</v>
      </c>
      <c r="B103" s="14" t="s">
        <v>9</v>
      </c>
      <c r="C103" s="97">
        <v>3255951506</v>
      </c>
      <c r="D103" s="98">
        <f t="shared" si="35"/>
        <v>116278917</v>
      </c>
      <c r="E103" s="99">
        <f t="shared" si="36"/>
        <v>284096043</v>
      </c>
      <c r="F103" s="100">
        <v>21724174</v>
      </c>
      <c r="G103" s="98">
        <v>776610</v>
      </c>
      <c r="H103" s="100">
        <v>1876978</v>
      </c>
      <c r="I103" s="101">
        <v>10923945</v>
      </c>
      <c r="J103" s="98">
        <v>6730130</v>
      </c>
      <c r="K103" s="100">
        <v>7811262</v>
      </c>
      <c r="L103" s="98">
        <f>40626550-274742</f>
        <v>40351808</v>
      </c>
      <c r="M103" s="98">
        <v>50461772</v>
      </c>
      <c r="N103" s="102">
        <f t="shared" si="37"/>
        <v>116278917</v>
      </c>
      <c r="O103" s="103">
        <v>434362381</v>
      </c>
      <c r="P103" s="104">
        <v>48020998</v>
      </c>
      <c r="Q103" s="98">
        <v>12078604</v>
      </c>
      <c r="R103" s="98">
        <v>8445684</v>
      </c>
      <c r="S103" s="98">
        <f>77158875-1918632</f>
        <v>75240243</v>
      </c>
      <c r="T103" s="98">
        <v>140310514</v>
      </c>
      <c r="U103" s="99">
        <f t="shared" si="38"/>
        <v>284096043</v>
      </c>
    </row>
    <row r="104" spans="1:115" ht="18" customHeight="1">
      <c r="A104" s="13">
        <v>2007</v>
      </c>
      <c r="B104" s="14" t="s">
        <v>10</v>
      </c>
      <c r="C104" s="97">
        <v>3067091217</v>
      </c>
      <c r="D104" s="98">
        <f t="shared" si="35"/>
        <v>108026458</v>
      </c>
      <c r="E104" s="99">
        <f t="shared" si="36"/>
        <v>264088951</v>
      </c>
      <c r="F104" s="100">
        <v>20739696</v>
      </c>
      <c r="G104" s="98">
        <v>746997</v>
      </c>
      <c r="H104" s="100">
        <v>1801808</v>
      </c>
      <c r="I104" s="101">
        <v>10137217</v>
      </c>
      <c r="J104" s="98">
        <v>6137202</v>
      </c>
      <c r="K104" s="100">
        <v>6326617</v>
      </c>
      <c r="L104" s="98">
        <f>39529398-1235103</f>
        <v>38294295</v>
      </c>
      <c r="M104" s="98">
        <v>47131127</v>
      </c>
      <c r="N104" s="102">
        <f t="shared" si="37"/>
        <v>108026458</v>
      </c>
      <c r="O104" s="103">
        <v>410139637</v>
      </c>
      <c r="P104" s="104">
        <v>45607183</v>
      </c>
      <c r="Q104" s="98">
        <v>11900419</v>
      </c>
      <c r="R104" s="98">
        <v>6588102</v>
      </c>
      <c r="S104" s="98">
        <f>71026926-1489284</f>
        <v>69537642</v>
      </c>
      <c r="T104" s="98">
        <v>130455605</v>
      </c>
      <c r="U104" s="99">
        <f t="shared" si="38"/>
        <v>264088951</v>
      </c>
    </row>
    <row r="105" spans="1:115" ht="18" customHeight="1">
      <c r="A105" s="13">
        <v>2007</v>
      </c>
      <c r="B105" s="14" t="s">
        <v>11</v>
      </c>
      <c r="C105" s="97">
        <v>3226261315</v>
      </c>
      <c r="D105" s="98">
        <f t="shared" si="35"/>
        <v>119673483</v>
      </c>
      <c r="E105" s="99">
        <f t="shared" si="36"/>
        <v>285734030</v>
      </c>
      <c r="F105" s="100">
        <v>21386259</v>
      </c>
      <c r="G105" s="98">
        <v>773864</v>
      </c>
      <c r="H105" s="100">
        <v>1869811</v>
      </c>
      <c r="I105" s="101">
        <v>11268625</v>
      </c>
      <c r="J105" s="98">
        <v>7406836</v>
      </c>
      <c r="K105" s="100">
        <v>6898137</v>
      </c>
      <c r="L105" s="98">
        <f>45666645-1681928</f>
        <v>43984717</v>
      </c>
      <c r="M105" s="98">
        <v>50115168</v>
      </c>
      <c r="N105" s="102">
        <f t="shared" si="37"/>
        <v>119673483</v>
      </c>
      <c r="O105" s="103">
        <v>455987117</v>
      </c>
      <c r="P105" s="104">
        <v>50926973</v>
      </c>
      <c r="Q105" s="98">
        <v>11949732</v>
      </c>
      <c r="R105" s="98">
        <v>6690684</v>
      </c>
      <c r="S105" s="98">
        <f>83027254-1916541</f>
        <v>81110713</v>
      </c>
      <c r="T105" s="98">
        <v>135055928</v>
      </c>
      <c r="U105" s="99">
        <f t="shared" si="38"/>
        <v>285734030</v>
      </c>
    </row>
    <row r="106" spans="1:115" ht="18" customHeight="1">
      <c r="A106" s="13">
        <v>2007</v>
      </c>
      <c r="B106" s="14" t="s">
        <v>12</v>
      </c>
      <c r="C106" s="97">
        <v>3165305574</v>
      </c>
      <c r="D106" s="98">
        <f t="shared" si="35"/>
        <v>117448369</v>
      </c>
      <c r="E106" s="99">
        <f t="shared" si="36"/>
        <v>280083788</v>
      </c>
      <c r="F106" s="100">
        <v>20735934</v>
      </c>
      <c r="G106" s="98">
        <v>748349</v>
      </c>
      <c r="H106" s="100">
        <v>1810256</v>
      </c>
      <c r="I106" s="101">
        <v>10734571</v>
      </c>
      <c r="J106" s="98">
        <v>7668600</v>
      </c>
      <c r="K106" s="100">
        <v>5961676</v>
      </c>
      <c r="L106" s="98">
        <f>42568658+859766</f>
        <v>43428424</v>
      </c>
      <c r="M106" s="98">
        <v>49655098</v>
      </c>
      <c r="N106" s="102">
        <f t="shared" si="37"/>
        <v>117448369</v>
      </c>
      <c r="O106" s="103">
        <v>434408357</v>
      </c>
      <c r="P106" s="104">
        <v>48151131</v>
      </c>
      <c r="Q106" s="98">
        <v>10893400</v>
      </c>
      <c r="R106" s="98">
        <v>5880725</v>
      </c>
      <c r="S106" s="98">
        <f>80105851+480189</f>
        <v>80586040</v>
      </c>
      <c r="T106" s="98">
        <v>134572492</v>
      </c>
      <c r="U106" s="99">
        <f t="shared" si="38"/>
        <v>280083788</v>
      </c>
    </row>
    <row r="107" spans="1:115" s="6" customFormat="1" ht="18" customHeight="1" thickBot="1">
      <c r="A107" s="13">
        <v>2007</v>
      </c>
      <c r="B107" s="14" t="s">
        <v>13</v>
      </c>
      <c r="C107" s="97">
        <v>3314222006</v>
      </c>
      <c r="D107" s="98">
        <f t="shared" si="35"/>
        <v>125436263</v>
      </c>
      <c r="E107" s="99">
        <f t="shared" si="36"/>
        <v>294460464</v>
      </c>
      <c r="F107" s="100">
        <v>21094747</v>
      </c>
      <c r="G107" s="98">
        <v>768595</v>
      </c>
      <c r="H107" s="100">
        <v>1848979</v>
      </c>
      <c r="I107" s="101">
        <v>11186794</v>
      </c>
      <c r="J107" s="98">
        <v>6589902</v>
      </c>
      <c r="K107" s="100">
        <v>3487424</v>
      </c>
      <c r="L107" s="98">
        <f>53036204+837243</f>
        <v>53873447</v>
      </c>
      <c r="M107" s="98">
        <v>50298696</v>
      </c>
      <c r="N107" s="102">
        <f t="shared" si="37"/>
        <v>125436263</v>
      </c>
      <c r="O107" s="103">
        <v>438015761</v>
      </c>
      <c r="P107" s="104">
        <v>48557477</v>
      </c>
      <c r="Q107" s="98">
        <v>10504485</v>
      </c>
      <c r="R107" s="98">
        <v>4535821</v>
      </c>
      <c r="S107" s="98">
        <f>91027532+130583</f>
        <v>91158115</v>
      </c>
      <c r="T107" s="98">
        <v>139704566</v>
      </c>
      <c r="U107" s="99">
        <f t="shared" si="38"/>
        <v>294460464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</row>
    <row r="108" spans="1:115" s="24" customFormat="1" ht="18" customHeight="1" thickTop="1" thickBot="1">
      <c r="A108" s="22">
        <v>2007</v>
      </c>
      <c r="B108" s="23" t="s">
        <v>14</v>
      </c>
      <c r="C108" s="105">
        <f t="shared" ref="C108:U108" si="39">SUM(C96:C107)</f>
        <v>38514602160</v>
      </c>
      <c r="D108" s="106">
        <f t="shared" si="39"/>
        <v>1408339920</v>
      </c>
      <c r="E108" s="107">
        <f t="shared" si="39"/>
        <v>3386666585</v>
      </c>
      <c r="F108" s="108">
        <f t="shared" si="39"/>
        <v>254667626</v>
      </c>
      <c r="G108" s="106">
        <f t="shared" si="39"/>
        <v>9208864</v>
      </c>
      <c r="H108" s="108">
        <f t="shared" si="39"/>
        <v>22194104</v>
      </c>
      <c r="I108" s="109">
        <f t="shared" si="39"/>
        <v>125193715</v>
      </c>
      <c r="J108" s="106">
        <f t="shared" si="39"/>
        <v>81722660</v>
      </c>
      <c r="K108" s="108">
        <f t="shared" si="39"/>
        <v>88167373</v>
      </c>
      <c r="L108" s="106">
        <f t="shared" si="39"/>
        <v>506917854</v>
      </c>
      <c r="M108" s="106">
        <f t="shared" si="39"/>
        <v>606338318</v>
      </c>
      <c r="N108" s="110">
        <f t="shared" si="39"/>
        <v>1408339920</v>
      </c>
      <c r="O108" s="111">
        <f t="shared" si="39"/>
        <v>5079071024</v>
      </c>
      <c r="P108" s="112">
        <f t="shared" si="39"/>
        <v>563441345</v>
      </c>
      <c r="Q108" s="106">
        <f t="shared" si="39"/>
        <v>133968388</v>
      </c>
      <c r="R108" s="106">
        <f t="shared" si="39"/>
        <v>91931092</v>
      </c>
      <c r="S108" s="106">
        <f t="shared" si="39"/>
        <v>926984538</v>
      </c>
      <c r="T108" s="106">
        <f t="shared" si="39"/>
        <v>1670341222</v>
      </c>
      <c r="U108" s="107">
        <f t="shared" si="39"/>
        <v>3386666585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</row>
    <row r="109" spans="1:115" ht="18" customHeight="1" thickTop="1">
      <c r="A109" s="13">
        <v>2008</v>
      </c>
      <c r="B109" s="14" t="s">
        <v>2</v>
      </c>
      <c r="C109" s="97">
        <v>3372314067</v>
      </c>
      <c r="D109" s="98">
        <f t="shared" ref="D109:D120" si="40">+N109</f>
        <v>128415145</v>
      </c>
      <c r="E109" s="99">
        <f t="shared" ref="E109:E120" si="41">+U109</f>
        <v>298593780</v>
      </c>
      <c r="F109" s="100">
        <v>21352646</v>
      </c>
      <c r="G109" s="98">
        <v>774077</v>
      </c>
      <c r="H109" s="100">
        <v>1871601</v>
      </c>
      <c r="I109" s="101">
        <v>11419359</v>
      </c>
      <c r="J109" s="98">
        <v>5754043</v>
      </c>
      <c r="K109" s="100">
        <v>6592024</v>
      </c>
      <c r="L109" s="98">
        <f>54502907-953140</f>
        <v>53549767</v>
      </c>
      <c r="M109" s="98">
        <v>51099952</v>
      </c>
      <c r="N109" s="102">
        <f t="shared" ref="N109:N120" si="42">SUM(I109:M109)</f>
        <v>128415145</v>
      </c>
      <c r="O109" s="103">
        <v>468226943</v>
      </c>
      <c r="P109" s="104">
        <v>51767611</v>
      </c>
      <c r="Q109" s="98">
        <v>10937077</v>
      </c>
      <c r="R109" s="98">
        <v>6833784</v>
      </c>
      <c r="S109" s="98">
        <f>90468324+533775</f>
        <v>91002099</v>
      </c>
      <c r="T109" s="98">
        <v>138053209</v>
      </c>
      <c r="U109" s="99">
        <f t="shared" ref="U109:U120" si="43">SUM(P109:T109)</f>
        <v>298593780</v>
      </c>
    </row>
    <row r="110" spans="1:115" ht="18" customHeight="1">
      <c r="A110" s="13">
        <v>2008</v>
      </c>
      <c r="B110" s="14" t="s">
        <v>3</v>
      </c>
      <c r="C110" s="97">
        <v>3213653140</v>
      </c>
      <c r="D110" s="98">
        <f t="shared" si="40"/>
        <v>121230720</v>
      </c>
      <c r="E110" s="99">
        <f t="shared" si="41"/>
        <v>283967150</v>
      </c>
      <c r="F110" s="100">
        <v>19987035</v>
      </c>
      <c r="G110" s="98">
        <v>724457</v>
      </c>
      <c r="H110" s="100">
        <v>1746271</v>
      </c>
      <c r="I110" s="101">
        <v>10284203</v>
      </c>
      <c r="J110" s="98">
        <v>5649733</v>
      </c>
      <c r="K110" s="100">
        <v>6723958</v>
      </c>
      <c r="L110" s="98">
        <f>50581755+144828</f>
        <v>50726583</v>
      </c>
      <c r="M110" s="98">
        <v>47846243</v>
      </c>
      <c r="N110" s="102">
        <f t="shared" si="42"/>
        <v>121230720</v>
      </c>
      <c r="O110" s="103">
        <v>422354860</v>
      </c>
      <c r="P110" s="104">
        <v>46717585</v>
      </c>
      <c r="Q110" s="98">
        <v>10262198</v>
      </c>
      <c r="R110" s="98">
        <v>6578621</v>
      </c>
      <c r="S110" s="98">
        <f>89583423-202125</f>
        <v>89381298</v>
      </c>
      <c r="T110" s="98">
        <v>131027448</v>
      </c>
      <c r="U110" s="99">
        <f t="shared" si="43"/>
        <v>283967150</v>
      </c>
    </row>
    <row r="111" spans="1:115" ht="18" customHeight="1">
      <c r="A111" s="13">
        <v>2008</v>
      </c>
      <c r="B111" s="14" t="s">
        <v>4</v>
      </c>
      <c r="C111" s="97">
        <v>3502370315</v>
      </c>
      <c r="D111" s="98">
        <f t="shared" si="40"/>
        <v>129451153</v>
      </c>
      <c r="E111" s="99">
        <f t="shared" si="41"/>
        <v>308628743</v>
      </c>
      <c r="F111" s="100">
        <v>21455939</v>
      </c>
      <c r="G111" s="98">
        <v>772645</v>
      </c>
      <c r="H111" s="100">
        <v>1866410</v>
      </c>
      <c r="I111" s="101">
        <v>10686705</v>
      </c>
      <c r="J111" s="98">
        <v>6292098</v>
      </c>
      <c r="K111" s="100">
        <v>8442378</v>
      </c>
      <c r="L111" s="98">
        <f>52339298+627509</f>
        <v>52966807</v>
      </c>
      <c r="M111" s="98">
        <v>51063165</v>
      </c>
      <c r="N111" s="102">
        <f t="shared" si="42"/>
        <v>129451153</v>
      </c>
      <c r="O111" s="103">
        <v>437827699</v>
      </c>
      <c r="P111" s="104">
        <v>48432678</v>
      </c>
      <c r="Q111" s="98">
        <v>10688969</v>
      </c>
      <c r="R111" s="98">
        <v>8493150</v>
      </c>
      <c r="S111" s="98">
        <f>105139550+906389</f>
        <v>106045939</v>
      </c>
      <c r="T111" s="98">
        <v>134968007</v>
      </c>
      <c r="U111" s="99">
        <f t="shared" si="43"/>
        <v>308628743</v>
      </c>
    </row>
    <row r="112" spans="1:115" ht="18" customHeight="1">
      <c r="A112" s="13">
        <v>2008</v>
      </c>
      <c r="B112" s="14" t="s">
        <v>5</v>
      </c>
      <c r="C112" s="97">
        <v>3383800665</v>
      </c>
      <c r="D112" s="98">
        <f t="shared" si="40"/>
        <v>123929105</v>
      </c>
      <c r="E112" s="99">
        <f t="shared" si="41"/>
        <v>297847448</v>
      </c>
      <c r="F112" s="100">
        <v>20818492</v>
      </c>
      <c r="G112" s="98">
        <v>748407</v>
      </c>
      <c r="H112" s="100">
        <v>1808906</v>
      </c>
      <c r="I112" s="101">
        <v>10387501</v>
      </c>
      <c r="J112" s="98">
        <v>6606610</v>
      </c>
      <c r="K112" s="100">
        <v>8942012</v>
      </c>
      <c r="L112" s="98">
        <f>50197817-1391798</f>
        <v>48806019</v>
      </c>
      <c r="M112" s="98">
        <v>49186963</v>
      </c>
      <c r="N112" s="102">
        <f t="shared" si="42"/>
        <v>123929105</v>
      </c>
      <c r="O112" s="103">
        <v>434362826</v>
      </c>
      <c r="P112" s="104">
        <v>48026819</v>
      </c>
      <c r="Q112" s="98">
        <v>11130520</v>
      </c>
      <c r="R112" s="98">
        <v>8817989</v>
      </c>
      <c r="S112" s="98">
        <f>101183045-1115887</f>
        <v>100067158</v>
      </c>
      <c r="T112" s="98">
        <v>129804962</v>
      </c>
      <c r="U112" s="99">
        <f t="shared" si="43"/>
        <v>297847448</v>
      </c>
    </row>
    <row r="113" spans="1:115" ht="18" customHeight="1">
      <c r="A113" s="13">
        <v>2008</v>
      </c>
      <c r="B113" s="14" t="s">
        <v>6</v>
      </c>
      <c r="C113" s="97">
        <v>3449757357</v>
      </c>
      <c r="D113" s="98">
        <f t="shared" si="40"/>
        <v>125107378</v>
      </c>
      <c r="E113" s="99">
        <f t="shared" si="41"/>
        <v>302994526</v>
      </c>
      <c r="F113" s="100">
        <v>21469216</v>
      </c>
      <c r="G113" s="98">
        <v>771654</v>
      </c>
      <c r="H113" s="100">
        <v>1860988</v>
      </c>
      <c r="I113" s="101">
        <v>10469763</v>
      </c>
      <c r="J113" s="98">
        <v>6814346</v>
      </c>
      <c r="K113" s="100">
        <v>9065372</v>
      </c>
      <c r="L113" s="98">
        <f>47877592+626630</f>
        <v>48504222</v>
      </c>
      <c r="M113" s="98">
        <v>50253675</v>
      </c>
      <c r="N113" s="102">
        <f t="shared" si="42"/>
        <v>125107378</v>
      </c>
      <c r="O113" s="103">
        <v>437403756</v>
      </c>
      <c r="P113" s="104">
        <v>48625775</v>
      </c>
      <c r="Q113" s="98">
        <v>11360485</v>
      </c>
      <c r="R113" s="98">
        <v>8453162</v>
      </c>
      <c r="S113" s="98">
        <f>102447415+1296425</f>
        <v>103743840</v>
      </c>
      <c r="T113" s="98">
        <v>130811264</v>
      </c>
      <c r="U113" s="99">
        <f t="shared" si="43"/>
        <v>302994526</v>
      </c>
    </row>
    <row r="114" spans="1:115" ht="18" customHeight="1">
      <c r="A114" s="13">
        <v>2008</v>
      </c>
      <c r="B114" s="14" t="s">
        <v>7</v>
      </c>
      <c r="C114" s="97">
        <v>3277094833</v>
      </c>
      <c r="D114" s="98">
        <f t="shared" si="40"/>
        <v>117570521</v>
      </c>
      <c r="E114" s="99">
        <f t="shared" si="41"/>
        <v>286802433</v>
      </c>
      <c r="F114" s="100">
        <v>20907475</v>
      </c>
      <c r="G114" s="98">
        <v>747311</v>
      </c>
      <c r="H114" s="100">
        <v>1806125</v>
      </c>
      <c r="I114" s="101">
        <v>10102099</v>
      </c>
      <c r="J114" s="98">
        <v>6504040</v>
      </c>
      <c r="K114" s="100">
        <v>10489999</v>
      </c>
      <c r="L114" s="98">
        <f>43189050-679367</f>
        <v>42509683</v>
      </c>
      <c r="M114" s="98">
        <v>47964700</v>
      </c>
      <c r="N114" s="102">
        <f t="shared" si="42"/>
        <v>117570521</v>
      </c>
      <c r="O114" s="103">
        <v>406763029</v>
      </c>
      <c r="P114" s="104">
        <v>45162734</v>
      </c>
      <c r="Q114" s="98">
        <v>10730033</v>
      </c>
      <c r="R114" s="98">
        <v>9310561</v>
      </c>
      <c r="S114" s="98">
        <f>94501387-1157389</f>
        <v>93343998</v>
      </c>
      <c r="T114" s="98">
        <v>128255107</v>
      </c>
      <c r="U114" s="99">
        <f t="shared" si="43"/>
        <v>286802433</v>
      </c>
    </row>
    <row r="115" spans="1:115" ht="18" customHeight="1">
      <c r="A115" s="13">
        <v>2008</v>
      </c>
      <c r="B115" s="14" t="s">
        <v>8</v>
      </c>
      <c r="C115" s="97">
        <v>3281577002</v>
      </c>
      <c r="D115" s="98">
        <f t="shared" si="40"/>
        <v>116769705</v>
      </c>
      <c r="E115" s="99">
        <f t="shared" si="41"/>
        <v>286012314</v>
      </c>
      <c r="F115" s="100">
        <v>21600367</v>
      </c>
      <c r="G115" s="98">
        <v>772069</v>
      </c>
      <c r="H115" s="100">
        <v>1864431</v>
      </c>
      <c r="I115" s="101">
        <v>10877865</v>
      </c>
      <c r="J115" s="98">
        <v>7474138</v>
      </c>
      <c r="K115" s="100">
        <v>9999650</v>
      </c>
      <c r="L115" s="98">
        <f>40382387+497261</f>
        <v>40879648</v>
      </c>
      <c r="M115" s="98">
        <v>47538404</v>
      </c>
      <c r="N115" s="102">
        <f t="shared" si="42"/>
        <v>116769705</v>
      </c>
      <c r="O115" s="103">
        <v>426867195</v>
      </c>
      <c r="P115" s="104">
        <v>47263407</v>
      </c>
      <c r="Q115" s="98">
        <v>11862317</v>
      </c>
      <c r="R115" s="98">
        <v>8203197</v>
      </c>
      <c r="S115" s="98">
        <f>89977949+339922</f>
        <v>90317871</v>
      </c>
      <c r="T115" s="98">
        <v>128365522</v>
      </c>
      <c r="U115" s="99">
        <f t="shared" si="43"/>
        <v>286012314</v>
      </c>
    </row>
    <row r="116" spans="1:115" ht="18" customHeight="1">
      <c r="A116" s="13">
        <v>2008</v>
      </c>
      <c r="B116" s="14" t="s">
        <v>9</v>
      </c>
      <c r="C116" s="97">
        <v>3271295420</v>
      </c>
      <c r="D116" s="98">
        <f t="shared" si="40"/>
        <v>117163721</v>
      </c>
      <c r="E116" s="99">
        <f t="shared" si="41"/>
        <v>285515112</v>
      </c>
      <c r="F116" s="100">
        <v>21472602</v>
      </c>
      <c r="G116" s="98">
        <v>768250</v>
      </c>
      <c r="H116" s="100">
        <v>1853718</v>
      </c>
      <c r="I116" s="101">
        <v>10418370</v>
      </c>
      <c r="J116" s="98">
        <v>8298295</v>
      </c>
      <c r="K116" s="100">
        <v>9484001</v>
      </c>
      <c r="L116" s="98">
        <f>41847563-10379</f>
        <v>41837184</v>
      </c>
      <c r="M116" s="98">
        <v>47125871</v>
      </c>
      <c r="N116" s="102">
        <f t="shared" si="42"/>
        <v>117163721</v>
      </c>
      <c r="O116" s="103">
        <v>425723414</v>
      </c>
      <c r="P116" s="104">
        <v>47482354</v>
      </c>
      <c r="Q116" s="98">
        <v>11612222</v>
      </c>
      <c r="R116" s="98">
        <v>7220306</v>
      </c>
      <c r="S116" s="98">
        <f>92274869-571694</f>
        <v>91703175</v>
      </c>
      <c r="T116" s="98">
        <v>127497055</v>
      </c>
      <c r="U116" s="99">
        <f t="shared" si="43"/>
        <v>285515112</v>
      </c>
    </row>
    <row r="117" spans="1:115" s="8" customFormat="1" ht="18" customHeight="1">
      <c r="A117" s="16">
        <v>2008</v>
      </c>
      <c r="B117" s="17" t="s">
        <v>10</v>
      </c>
      <c r="C117" s="129">
        <v>3152525865</v>
      </c>
      <c r="D117" s="130">
        <f t="shared" si="40"/>
        <v>113417379</v>
      </c>
      <c r="E117" s="131">
        <f t="shared" si="41"/>
        <v>276676749</v>
      </c>
      <c r="F117" s="132">
        <v>20747528</v>
      </c>
      <c r="G117" s="130">
        <v>742765</v>
      </c>
      <c r="H117" s="132">
        <v>1804861</v>
      </c>
      <c r="I117" s="133">
        <v>10320239</v>
      </c>
      <c r="J117" s="130">
        <v>8500644</v>
      </c>
      <c r="K117" s="132">
        <v>8412157</v>
      </c>
      <c r="L117" s="130">
        <v>40498616</v>
      </c>
      <c r="M117" s="130">
        <v>45685723</v>
      </c>
      <c r="N117" s="134">
        <f t="shared" si="42"/>
        <v>113417379</v>
      </c>
      <c r="O117" s="135">
        <f>426855195+11801393</f>
        <v>438656588</v>
      </c>
      <c r="P117" s="136">
        <v>48430929</v>
      </c>
      <c r="Q117" s="130">
        <v>11550166</v>
      </c>
      <c r="R117" s="130">
        <v>7109358</v>
      </c>
      <c r="S117" s="130">
        <v>84326974</v>
      </c>
      <c r="T117" s="130">
        <v>125259322</v>
      </c>
      <c r="U117" s="131">
        <f t="shared" si="43"/>
        <v>276676749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</row>
    <row r="118" spans="1:115" ht="18" customHeight="1">
      <c r="A118" s="13">
        <v>2008</v>
      </c>
      <c r="B118" s="14" t="s">
        <v>11</v>
      </c>
      <c r="C118" s="97">
        <v>3260392395</v>
      </c>
      <c r="D118" s="98">
        <f t="shared" si="40"/>
        <v>119678955</v>
      </c>
      <c r="E118" s="99">
        <f t="shared" si="41"/>
        <v>288445563</v>
      </c>
      <c r="F118" s="100">
        <v>20458208</v>
      </c>
      <c r="G118" s="98">
        <v>766727</v>
      </c>
      <c r="H118" s="100">
        <v>1849488</v>
      </c>
      <c r="I118" s="101">
        <v>10748161</v>
      </c>
      <c r="J118" s="98">
        <v>9356489</v>
      </c>
      <c r="K118" s="100">
        <v>7907084</v>
      </c>
      <c r="L118" s="98">
        <v>43390840</v>
      </c>
      <c r="M118" s="98">
        <v>48276381</v>
      </c>
      <c r="N118" s="102">
        <f t="shared" si="42"/>
        <v>119678955</v>
      </c>
      <c r="O118" s="103">
        <f>453320009+11713482</f>
        <v>465033491</v>
      </c>
      <c r="P118" s="104">
        <v>51124110</v>
      </c>
      <c r="Q118" s="98">
        <v>12555454</v>
      </c>
      <c r="R118" s="98">
        <v>6295823</v>
      </c>
      <c r="S118" s="98">
        <v>89233530</v>
      </c>
      <c r="T118" s="98">
        <v>129236646</v>
      </c>
      <c r="U118" s="99">
        <f t="shared" si="43"/>
        <v>288445563</v>
      </c>
    </row>
    <row r="119" spans="1:115" ht="18" customHeight="1">
      <c r="A119" s="13">
        <v>2008</v>
      </c>
      <c r="B119" s="14" t="s">
        <v>12</v>
      </c>
      <c r="C119" s="97">
        <v>3162329342</v>
      </c>
      <c r="D119" s="98">
        <f t="shared" si="40"/>
        <v>116801947</v>
      </c>
      <c r="E119" s="99">
        <f t="shared" si="41"/>
        <v>280600280</v>
      </c>
      <c r="F119" s="100">
        <v>20467219</v>
      </c>
      <c r="G119" s="98">
        <v>743222</v>
      </c>
      <c r="H119" s="100">
        <v>1797110</v>
      </c>
      <c r="I119" s="101">
        <v>9981659</v>
      </c>
      <c r="J119" s="98">
        <v>8150442</v>
      </c>
      <c r="K119" s="100">
        <v>6439593</v>
      </c>
      <c r="L119" s="98">
        <v>46111942</v>
      </c>
      <c r="M119" s="98">
        <v>46118311</v>
      </c>
      <c r="N119" s="102">
        <f t="shared" si="42"/>
        <v>116801947</v>
      </c>
      <c r="O119" s="103">
        <v>415436207</v>
      </c>
      <c r="P119" s="104">
        <v>46392189</v>
      </c>
      <c r="Q119" s="98">
        <v>10666741</v>
      </c>
      <c r="R119" s="98">
        <v>5479822</v>
      </c>
      <c r="S119" s="98">
        <v>94935347</v>
      </c>
      <c r="T119" s="98">
        <v>123126181</v>
      </c>
      <c r="U119" s="99">
        <f t="shared" si="43"/>
        <v>280600280</v>
      </c>
    </row>
    <row r="120" spans="1:115" s="6" customFormat="1" ht="18" customHeight="1" thickBot="1">
      <c r="A120" s="15">
        <v>2008</v>
      </c>
      <c r="B120" s="7" t="s">
        <v>13</v>
      </c>
      <c r="C120" s="113">
        <v>3287543920</v>
      </c>
      <c r="D120" s="114">
        <f t="shared" si="40"/>
        <v>123841071</v>
      </c>
      <c r="E120" s="115">
        <f t="shared" si="41"/>
        <v>292737930</v>
      </c>
      <c r="F120" s="116">
        <v>21126976</v>
      </c>
      <c r="G120" s="114">
        <v>773476</v>
      </c>
      <c r="H120" s="116">
        <v>1870955</v>
      </c>
      <c r="I120" s="117">
        <v>10993367</v>
      </c>
      <c r="J120" s="114">
        <v>7657379</v>
      </c>
      <c r="K120" s="116">
        <v>4566094</v>
      </c>
      <c r="L120" s="114">
        <v>52232941</v>
      </c>
      <c r="M120" s="114">
        <v>48391290</v>
      </c>
      <c r="N120" s="118">
        <f t="shared" si="42"/>
        <v>123841071</v>
      </c>
      <c r="O120" s="119">
        <v>442414968</v>
      </c>
      <c r="P120" s="120">
        <v>49282430</v>
      </c>
      <c r="Q120" s="114">
        <v>11545877</v>
      </c>
      <c r="R120" s="114">
        <v>3838814</v>
      </c>
      <c r="S120" s="114">
        <v>101004969</v>
      </c>
      <c r="T120" s="114">
        <v>127065840</v>
      </c>
      <c r="U120" s="115">
        <f t="shared" si="43"/>
        <v>292737930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</row>
    <row r="121" spans="1:115" s="24" customFormat="1" ht="18" customHeight="1" thickTop="1" thickBot="1">
      <c r="A121" s="20">
        <v>2008</v>
      </c>
      <c r="B121" s="21" t="s">
        <v>14</v>
      </c>
      <c r="C121" s="121">
        <v>39614654321</v>
      </c>
      <c r="D121" s="122">
        <v>1453503642</v>
      </c>
      <c r="E121" s="123">
        <v>3488824995</v>
      </c>
      <c r="F121" s="124">
        <f t="shared" ref="F121:U121" si="44">SUM(F109:F120)</f>
        <v>251863703</v>
      </c>
      <c r="G121" s="122">
        <f t="shared" si="44"/>
        <v>9105060</v>
      </c>
      <c r="H121" s="124">
        <f t="shared" si="44"/>
        <v>22000864</v>
      </c>
      <c r="I121" s="125">
        <f t="shared" si="44"/>
        <v>126689291</v>
      </c>
      <c r="J121" s="122">
        <f t="shared" si="44"/>
        <v>87058257</v>
      </c>
      <c r="K121" s="124">
        <f t="shared" si="44"/>
        <v>97064322</v>
      </c>
      <c r="L121" s="122">
        <f t="shared" si="44"/>
        <v>562014252</v>
      </c>
      <c r="M121" s="122">
        <f t="shared" si="44"/>
        <v>580550678</v>
      </c>
      <c r="N121" s="126">
        <f t="shared" si="44"/>
        <v>1453376800</v>
      </c>
      <c r="O121" s="127">
        <f t="shared" si="44"/>
        <v>5221070976</v>
      </c>
      <c r="P121" s="128">
        <f t="shared" si="44"/>
        <v>578708621</v>
      </c>
      <c r="Q121" s="122">
        <f t="shared" si="44"/>
        <v>134902059</v>
      </c>
      <c r="R121" s="122">
        <f t="shared" si="44"/>
        <v>86634587</v>
      </c>
      <c r="S121" s="122">
        <f t="shared" si="44"/>
        <v>1135106198</v>
      </c>
      <c r="T121" s="122">
        <f t="shared" si="44"/>
        <v>1553470563</v>
      </c>
      <c r="U121" s="123">
        <f t="shared" si="44"/>
        <v>3488822028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</row>
    <row r="122" spans="1:115" ht="18" customHeight="1" thickTop="1">
      <c r="A122" s="13">
        <v>2009</v>
      </c>
      <c r="B122" s="14" t="s">
        <v>2</v>
      </c>
      <c r="C122" s="97">
        <v>3185788199</v>
      </c>
      <c r="D122" s="98">
        <f t="shared" ref="D122:D133" si="45">+N122</f>
        <v>119619174</v>
      </c>
      <c r="E122" s="99">
        <f t="shared" ref="E122:E133" si="46">+U122</f>
        <v>282168688</v>
      </c>
      <c r="F122" s="100">
        <v>21231799</v>
      </c>
      <c r="G122" s="98">
        <v>771977</v>
      </c>
      <c r="H122" s="100">
        <v>1864446</v>
      </c>
      <c r="I122" s="101">
        <v>10246520</v>
      </c>
      <c r="J122" s="98">
        <v>6986593</v>
      </c>
      <c r="K122" s="100">
        <v>6780026</v>
      </c>
      <c r="L122" s="98">
        <v>53176389</v>
      </c>
      <c r="M122" s="98">
        <v>42429646</v>
      </c>
      <c r="N122" s="102">
        <f t="shared" ref="N122:N133" si="47">SUM(I122:M122)</f>
        <v>119619174</v>
      </c>
      <c r="O122" s="103">
        <v>432900545</v>
      </c>
      <c r="P122" s="104">
        <v>48139543</v>
      </c>
      <c r="Q122" s="98">
        <v>10651038</v>
      </c>
      <c r="R122" s="98">
        <v>6177389</v>
      </c>
      <c r="S122" s="98">
        <v>104239600</v>
      </c>
      <c r="T122" s="98">
        <v>112961118</v>
      </c>
      <c r="U122" s="99">
        <f t="shared" ref="U122:U133" si="48">SUM(P122:T122)</f>
        <v>282168688</v>
      </c>
    </row>
    <row r="123" spans="1:115" ht="18" customHeight="1">
      <c r="A123" s="13">
        <v>2009</v>
      </c>
      <c r="B123" s="14" t="s">
        <v>3</v>
      </c>
      <c r="C123" s="97">
        <v>2896116750</v>
      </c>
      <c r="D123" s="98">
        <f t="shared" si="45"/>
        <v>107127261</v>
      </c>
      <c r="E123" s="99">
        <f t="shared" si="46"/>
        <v>255578886</v>
      </c>
      <c r="F123" s="100">
        <v>19153951</v>
      </c>
      <c r="G123" s="98">
        <v>697698</v>
      </c>
      <c r="H123" s="100">
        <v>1684906</v>
      </c>
      <c r="I123" s="101">
        <v>9334174</v>
      </c>
      <c r="J123" s="98">
        <v>6486028</v>
      </c>
      <c r="K123" s="100">
        <v>7022933</v>
      </c>
      <c r="L123" s="98">
        <v>45444099</v>
      </c>
      <c r="M123" s="98">
        <v>38840027</v>
      </c>
      <c r="N123" s="102">
        <f t="shared" si="47"/>
        <v>107127261</v>
      </c>
      <c r="O123" s="103">
        <v>403173867</v>
      </c>
      <c r="P123" s="104">
        <v>44785902</v>
      </c>
      <c r="Q123" s="98">
        <v>10687994</v>
      </c>
      <c r="R123" s="98">
        <v>6455814</v>
      </c>
      <c r="S123" s="98">
        <v>88014432</v>
      </c>
      <c r="T123" s="98">
        <v>105634744</v>
      </c>
      <c r="U123" s="99">
        <f t="shared" si="48"/>
        <v>255578886</v>
      </c>
    </row>
    <row r="124" spans="1:115" ht="18" customHeight="1">
      <c r="A124" s="13">
        <v>2009</v>
      </c>
      <c r="B124" s="14" t="s">
        <v>4</v>
      </c>
      <c r="C124" s="97">
        <v>3232973051</v>
      </c>
      <c r="D124" s="98">
        <f t="shared" si="45"/>
        <v>117869646</v>
      </c>
      <c r="E124" s="99">
        <f t="shared" si="46"/>
        <v>284821919</v>
      </c>
      <c r="F124" s="100">
        <v>21253352</v>
      </c>
      <c r="G124" s="98">
        <v>772342</v>
      </c>
      <c r="H124" s="100">
        <v>1864627</v>
      </c>
      <c r="I124" s="101">
        <v>10377143</v>
      </c>
      <c r="J124" s="98">
        <v>7669149</v>
      </c>
      <c r="K124" s="100">
        <v>7653568</v>
      </c>
      <c r="L124" s="98">
        <v>48716586</v>
      </c>
      <c r="M124" s="98">
        <v>43453200</v>
      </c>
      <c r="N124" s="102">
        <f t="shared" si="47"/>
        <v>117869646</v>
      </c>
      <c r="O124" s="103">
        <v>439689049</v>
      </c>
      <c r="P124" s="104">
        <v>48816390</v>
      </c>
      <c r="Q124" s="98">
        <v>12127703</v>
      </c>
      <c r="R124" s="98">
        <v>8702586</v>
      </c>
      <c r="S124" s="98">
        <v>97268803</v>
      </c>
      <c r="T124" s="98">
        <v>117906437</v>
      </c>
      <c r="U124" s="99">
        <f t="shared" si="48"/>
        <v>284821919</v>
      </c>
    </row>
    <row r="125" spans="1:115" ht="18" customHeight="1">
      <c r="A125" s="13">
        <v>2009</v>
      </c>
      <c r="B125" s="14" t="s">
        <v>5</v>
      </c>
      <c r="C125" s="97">
        <v>3165271579</v>
      </c>
      <c r="D125" s="98">
        <f t="shared" si="45"/>
        <v>114008605</v>
      </c>
      <c r="E125" s="99">
        <f t="shared" si="46"/>
        <v>278853548</v>
      </c>
      <c r="F125" s="100">
        <v>20675820</v>
      </c>
      <c r="G125" s="98">
        <v>747791</v>
      </c>
      <c r="H125" s="100">
        <v>1805552</v>
      </c>
      <c r="I125" s="101">
        <v>10192066</v>
      </c>
      <c r="J125" s="98">
        <v>8066627</v>
      </c>
      <c r="K125" s="100">
        <v>8312374</v>
      </c>
      <c r="L125" s="98">
        <v>45290047</v>
      </c>
      <c r="M125" s="98">
        <v>42147491</v>
      </c>
      <c r="N125" s="102">
        <f t="shared" si="47"/>
        <v>114008605</v>
      </c>
      <c r="O125" s="103">
        <v>425544989</v>
      </c>
      <c r="P125" s="104">
        <v>47087691</v>
      </c>
      <c r="Q125" s="98">
        <v>11401037</v>
      </c>
      <c r="R125" s="98">
        <v>9714329</v>
      </c>
      <c r="S125" s="98">
        <v>95489074</v>
      </c>
      <c r="T125" s="98">
        <v>115161417</v>
      </c>
      <c r="U125" s="99">
        <f t="shared" si="48"/>
        <v>278853548</v>
      </c>
    </row>
    <row r="126" spans="1:115" ht="18" customHeight="1">
      <c r="A126" s="13">
        <v>2009</v>
      </c>
      <c r="B126" s="14" t="s">
        <v>6</v>
      </c>
      <c r="C126" s="97">
        <v>3240437458</v>
      </c>
      <c r="D126" s="98">
        <f t="shared" si="45"/>
        <v>114555356</v>
      </c>
      <c r="E126" s="99">
        <f t="shared" si="46"/>
        <v>284354331</v>
      </c>
      <c r="F126" s="100">
        <v>21347203</v>
      </c>
      <c r="G126" s="98">
        <v>770464</v>
      </c>
      <c r="H126" s="100">
        <v>1858787</v>
      </c>
      <c r="I126" s="101">
        <v>10000632</v>
      </c>
      <c r="J126" s="98">
        <v>7910586</v>
      </c>
      <c r="K126" s="100">
        <v>9480951</v>
      </c>
      <c r="L126" s="98">
        <v>44889356</v>
      </c>
      <c r="M126" s="98">
        <v>42273831</v>
      </c>
      <c r="N126" s="102">
        <f t="shared" si="47"/>
        <v>114555356</v>
      </c>
      <c r="O126" s="103">
        <v>424484883</v>
      </c>
      <c r="P126" s="104">
        <v>47014319</v>
      </c>
      <c r="Q126" s="98">
        <v>11771769</v>
      </c>
      <c r="R126" s="98">
        <v>9073998</v>
      </c>
      <c r="S126" s="98">
        <v>101678342</v>
      </c>
      <c r="T126" s="98">
        <v>114815903</v>
      </c>
      <c r="U126" s="99">
        <f t="shared" si="48"/>
        <v>284354331</v>
      </c>
    </row>
    <row r="127" spans="1:115" ht="18" customHeight="1">
      <c r="A127" s="13">
        <v>2009</v>
      </c>
      <c r="B127" s="14" t="s">
        <v>7</v>
      </c>
      <c r="C127" s="97">
        <v>3023658215</v>
      </c>
      <c r="D127" s="98">
        <f t="shared" si="45"/>
        <v>106490264</v>
      </c>
      <c r="E127" s="99">
        <f t="shared" si="46"/>
        <v>264772717</v>
      </c>
      <c r="F127" s="100">
        <v>20682443</v>
      </c>
      <c r="G127" s="98">
        <v>746209</v>
      </c>
      <c r="H127" s="100">
        <v>1800494</v>
      </c>
      <c r="I127" s="101">
        <v>10004882</v>
      </c>
      <c r="J127" s="98">
        <v>8460576</v>
      </c>
      <c r="K127" s="100">
        <v>9107276</v>
      </c>
      <c r="L127" s="98">
        <v>39372512</v>
      </c>
      <c r="M127" s="98">
        <v>39545018</v>
      </c>
      <c r="N127" s="102">
        <f t="shared" si="47"/>
        <v>106490264</v>
      </c>
      <c r="O127" s="103">
        <v>408548807</v>
      </c>
      <c r="P127" s="104">
        <v>45205965</v>
      </c>
      <c r="Q127" s="98">
        <v>11561506</v>
      </c>
      <c r="R127" s="98">
        <v>8819816</v>
      </c>
      <c r="S127" s="98">
        <v>90096258</v>
      </c>
      <c r="T127" s="98">
        <v>109089172</v>
      </c>
      <c r="U127" s="99">
        <f t="shared" si="48"/>
        <v>264772717</v>
      </c>
    </row>
    <row r="128" spans="1:115" ht="18" customHeight="1">
      <c r="A128" s="13">
        <v>2009</v>
      </c>
      <c r="B128" s="14" t="s">
        <v>8</v>
      </c>
      <c r="C128" s="97">
        <v>2985848167</v>
      </c>
      <c r="D128" s="98">
        <f t="shared" si="45"/>
        <v>104783600</v>
      </c>
      <c r="E128" s="99">
        <f t="shared" si="46"/>
        <v>260065153</v>
      </c>
      <c r="F128" s="100">
        <v>21456382</v>
      </c>
      <c r="G128" s="98">
        <v>770596</v>
      </c>
      <c r="H128" s="100">
        <v>1859987</v>
      </c>
      <c r="I128" s="101">
        <v>10245155</v>
      </c>
      <c r="J128" s="98">
        <v>7918735</v>
      </c>
      <c r="K128" s="100">
        <v>8831137</v>
      </c>
      <c r="L128" s="98">
        <v>39336095</v>
      </c>
      <c r="M128" s="98">
        <v>38452478</v>
      </c>
      <c r="N128" s="102">
        <f t="shared" si="47"/>
        <v>104783600</v>
      </c>
      <c r="O128" s="103">
        <v>417462853</v>
      </c>
      <c r="P128" s="104">
        <v>46371013</v>
      </c>
      <c r="Q128" s="98">
        <v>10896917</v>
      </c>
      <c r="R128" s="98">
        <v>8038598</v>
      </c>
      <c r="S128" s="98">
        <v>84026234</v>
      </c>
      <c r="T128" s="98">
        <v>110732391</v>
      </c>
      <c r="U128" s="99">
        <f t="shared" si="48"/>
        <v>260065153</v>
      </c>
    </row>
    <row r="129" spans="1:115" ht="18" customHeight="1">
      <c r="A129" s="13">
        <v>2009</v>
      </c>
      <c r="B129" s="14" t="s">
        <v>9</v>
      </c>
      <c r="C129" s="97">
        <v>2983939675</v>
      </c>
      <c r="D129" s="98">
        <f t="shared" si="45"/>
        <v>105281983</v>
      </c>
      <c r="E129" s="99">
        <f t="shared" si="46"/>
        <v>260944319</v>
      </c>
      <c r="F129" s="100">
        <v>21424508</v>
      </c>
      <c r="G129" s="98">
        <v>771852</v>
      </c>
      <c r="H129" s="100">
        <v>1862711</v>
      </c>
      <c r="I129" s="101">
        <v>10207288</v>
      </c>
      <c r="J129" s="98">
        <v>8444459</v>
      </c>
      <c r="K129" s="100">
        <v>8916657</v>
      </c>
      <c r="L129" s="98">
        <v>38816971</v>
      </c>
      <c r="M129" s="98">
        <v>38896608</v>
      </c>
      <c r="N129" s="102">
        <f t="shared" si="47"/>
        <v>105281983</v>
      </c>
      <c r="O129" s="103">
        <v>430684112</v>
      </c>
      <c r="P129" s="104">
        <v>47623680</v>
      </c>
      <c r="Q129" s="98">
        <v>12226338</v>
      </c>
      <c r="R129" s="98">
        <v>8186321</v>
      </c>
      <c r="S129" s="98">
        <v>81678947</v>
      </c>
      <c r="T129" s="98">
        <v>111229033</v>
      </c>
      <c r="U129" s="99">
        <f t="shared" si="48"/>
        <v>260944319</v>
      </c>
    </row>
    <row r="130" spans="1:115" ht="18" customHeight="1">
      <c r="A130" s="13">
        <v>2009</v>
      </c>
      <c r="B130" s="14" t="s">
        <v>10</v>
      </c>
      <c r="C130" s="97">
        <v>2820771945</v>
      </c>
      <c r="D130" s="98">
        <f t="shared" si="45"/>
        <v>101153516</v>
      </c>
      <c r="E130" s="99">
        <f t="shared" si="46"/>
        <v>247688116</v>
      </c>
      <c r="F130" s="100">
        <v>20667752</v>
      </c>
      <c r="G130" s="98">
        <v>748111</v>
      </c>
      <c r="H130" s="100">
        <v>1806083</v>
      </c>
      <c r="I130" s="101">
        <v>10091508</v>
      </c>
      <c r="J130" s="98">
        <v>8011466</v>
      </c>
      <c r="K130" s="100">
        <v>7738644</v>
      </c>
      <c r="L130" s="98">
        <v>37637731</v>
      </c>
      <c r="M130" s="98">
        <v>37674167</v>
      </c>
      <c r="N130" s="102">
        <f t="shared" si="47"/>
        <v>101153516</v>
      </c>
      <c r="O130" s="103">
        <v>435555684</v>
      </c>
      <c r="P130" s="104">
        <v>48132799</v>
      </c>
      <c r="Q130" s="98">
        <v>11664004</v>
      </c>
      <c r="R130" s="98">
        <v>7318893</v>
      </c>
      <c r="S130" s="98">
        <v>70894775</v>
      </c>
      <c r="T130" s="98">
        <v>109677645</v>
      </c>
      <c r="U130" s="99">
        <f t="shared" si="48"/>
        <v>247688116</v>
      </c>
    </row>
    <row r="131" spans="1:115" ht="18" customHeight="1">
      <c r="A131" s="13">
        <v>2009</v>
      </c>
      <c r="B131" s="14" t="s">
        <v>11</v>
      </c>
      <c r="C131" s="97">
        <v>2950019796</v>
      </c>
      <c r="D131" s="98">
        <f t="shared" si="45"/>
        <v>108317711</v>
      </c>
      <c r="E131" s="99">
        <f t="shared" si="46"/>
        <v>261463352</v>
      </c>
      <c r="F131" s="100">
        <v>21183278</v>
      </c>
      <c r="G131" s="98">
        <v>772128</v>
      </c>
      <c r="H131" s="100">
        <v>1864778</v>
      </c>
      <c r="I131" s="101">
        <v>10488352</v>
      </c>
      <c r="J131" s="98">
        <v>10389116</v>
      </c>
      <c r="K131" s="100">
        <v>6710480</v>
      </c>
      <c r="L131" s="98">
        <v>40938920</v>
      </c>
      <c r="M131" s="98">
        <v>39790843</v>
      </c>
      <c r="N131" s="102">
        <f t="shared" si="47"/>
        <v>108317711</v>
      </c>
      <c r="O131" s="103">
        <v>450958676</v>
      </c>
      <c r="P131" s="104">
        <v>49967476</v>
      </c>
      <c r="Q131" s="98">
        <v>11319141</v>
      </c>
      <c r="R131" s="98">
        <v>6207932</v>
      </c>
      <c r="S131" s="98">
        <v>81216163</v>
      </c>
      <c r="T131" s="98">
        <v>112752640</v>
      </c>
      <c r="U131" s="99">
        <f t="shared" si="48"/>
        <v>261463352</v>
      </c>
    </row>
    <row r="132" spans="1:115" ht="18" customHeight="1">
      <c r="A132" s="13">
        <v>2009</v>
      </c>
      <c r="B132" s="14" t="s">
        <v>12</v>
      </c>
      <c r="C132" s="97">
        <v>2886548239</v>
      </c>
      <c r="D132" s="98">
        <f t="shared" si="45"/>
        <v>108050246</v>
      </c>
      <c r="E132" s="99">
        <f t="shared" si="46"/>
        <v>257435695</v>
      </c>
      <c r="F132" s="100">
        <v>20375605</v>
      </c>
      <c r="G132" s="98">
        <v>747319</v>
      </c>
      <c r="H132" s="100">
        <v>1804308</v>
      </c>
      <c r="I132" s="101">
        <v>10348154</v>
      </c>
      <c r="J132" s="98">
        <v>11578350</v>
      </c>
      <c r="K132" s="100">
        <v>5420454</v>
      </c>
      <c r="L132" s="98">
        <v>42297871</v>
      </c>
      <c r="M132" s="98">
        <v>38405417</v>
      </c>
      <c r="N132" s="102">
        <f t="shared" si="47"/>
        <v>108050246</v>
      </c>
      <c r="O132" s="103">
        <v>439413050</v>
      </c>
      <c r="P132" s="104">
        <v>49075155</v>
      </c>
      <c r="Q132" s="98">
        <v>11289149</v>
      </c>
      <c r="R132" s="98">
        <v>4970693</v>
      </c>
      <c r="S132" s="98">
        <v>83950753</v>
      </c>
      <c r="T132" s="98">
        <v>108149945</v>
      </c>
      <c r="U132" s="99">
        <f t="shared" si="48"/>
        <v>257435695</v>
      </c>
    </row>
    <row r="133" spans="1:115" s="6" customFormat="1" ht="18" customHeight="1" thickBot="1">
      <c r="A133" s="13">
        <v>2009</v>
      </c>
      <c r="B133" s="14" t="s">
        <v>13</v>
      </c>
      <c r="C133" s="97">
        <v>3031220901</v>
      </c>
      <c r="D133" s="98">
        <f t="shared" si="45"/>
        <v>114938623</v>
      </c>
      <c r="E133" s="99">
        <f t="shared" si="46"/>
        <v>270110820</v>
      </c>
      <c r="F133" s="100">
        <v>21053546</v>
      </c>
      <c r="G133" s="98">
        <v>772047</v>
      </c>
      <c r="H133" s="100">
        <v>1864927</v>
      </c>
      <c r="I133" s="101">
        <v>10796821</v>
      </c>
      <c r="J133" s="98">
        <v>11301840</v>
      </c>
      <c r="K133" s="100">
        <v>4578812</v>
      </c>
      <c r="L133" s="98">
        <v>47590820</v>
      </c>
      <c r="M133" s="98">
        <v>40670330</v>
      </c>
      <c r="N133" s="102">
        <f t="shared" si="47"/>
        <v>114938623</v>
      </c>
      <c r="O133" s="103">
        <v>451685654</v>
      </c>
      <c r="P133" s="104">
        <v>50131477</v>
      </c>
      <c r="Q133" s="98">
        <v>11125191</v>
      </c>
      <c r="R133" s="98">
        <v>4261244</v>
      </c>
      <c r="S133" s="98">
        <v>93410341</v>
      </c>
      <c r="T133" s="98">
        <v>111182567</v>
      </c>
      <c r="U133" s="99">
        <f t="shared" si="48"/>
        <v>270110820</v>
      </c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</row>
    <row r="134" spans="1:115" s="24" customFormat="1" ht="18" customHeight="1" thickTop="1" thickBot="1">
      <c r="A134" s="22">
        <v>2009</v>
      </c>
      <c r="B134" s="23" t="s">
        <v>14</v>
      </c>
      <c r="C134" s="105">
        <f t="shared" ref="C134:U134" si="49">SUM(C122:C133)</f>
        <v>36402593975</v>
      </c>
      <c r="D134" s="106">
        <f t="shared" si="49"/>
        <v>1322195985</v>
      </c>
      <c r="E134" s="107">
        <f t="shared" si="49"/>
        <v>3208257544</v>
      </c>
      <c r="F134" s="108">
        <f t="shared" si="49"/>
        <v>250505639</v>
      </c>
      <c r="G134" s="106">
        <f t="shared" si="49"/>
        <v>9088534</v>
      </c>
      <c r="H134" s="108">
        <f t="shared" si="49"/>
        <v>21941606</v>
      </c>
      <c r="I134" s="109">
        <f t="shared" si="49"/>
        <v>122332695</v>
      </c>
      <c r="J134" s="106">
        <f t="shared" si="49"/>
        <v>103223525</v>
      </c>
      <c r="K134" s="108">
        <f t="shared" si="49"/>
        <v>90553312</v>
      </c>
      <c r="L134" s="106">
        <f t="shared" si="49"/>
        <v>523507397</v>
      </c>
      <c r="M134" s="106">
        <f t="shared" si="49"/>
        <v>482579056</v>
      </c>
      <c r="N134" s="110">
        <f t="shared" si="49"/>
        <v>1322195985</v>
      </c>
      <c r="O134" s="111">
        <f t="shared" si="49"/>
        <v>5160102169</v>
      </c>
      <c r="P134" s="112">
        <f t="shared" si="49"/>
        <v>572351410</v>
      </c>
      <c r="Q134" s="106">
        <f t="shared" si="49"/>
        <v>136721787</v>
      </c>
      <c r="R134" s="106">
        <f t="shared" si="49"/>
        <v>87927613</v>
      </c>
      <c r="S134" s="106">
        <f t="shared" si="49"/>
        <v>1071963722</v>
      </c>
      <c r="T134" s="106">
        <f t="shared" si="49"/>
        <v>1339293012</v>
      </c>
      <c r="U134" s="107">
        <f t="shared" si="49"/>
        <v>3208257544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 ht="18" customHeight="1" thickTop="1">
      <c r="A135" s="13">
        <v>2010</v>
      </c>
      <c r="B135" s="14" t="s">
        <v>2</v>
      </c>
      <c r="C135" s="97">
        <v>3088823230</v>
      </c>
      <c r="D135" s="98">
        <f t="shared" ref="D135:D146" si="50">+N135</f>
        <v>116021423</v>
      </c>
      <c r="E135" s="99">
        <f t="shared" ref="E135:E146" si="51">+U135</f>
        <v>273728133</v>
      </c>
      <c r="F135" s="100">
        <v>21418666</v>
      </c>
      <c r="G135" s="98">
        <v>779310</v>
      </c>
      <c r="H135" s="100">
        <v>1890838</v>
      </c>
      <c r="I135" s="101">
        <v>10332151</v>
      </c>
      <c r="J135" s="98">
        <v>7853981</v>
      </c>
      <c r="K135" s="100">
        <v>5839360</v>
      </c>
      <c r="L135" s="98">
        <v>51631778</v>
      </c>
      <c r="M135" s="98">
        <v>40364153</v>
      </c>
      <c r="N135" s="102">
        <f t="shared" ref="N135:N146" si="52">SUM(I135:M135)</f>
        <v>116021423</v>
      </c>
      <c r="O135" s="103">
        <v>442779638</v>
      </c>
      <c r="P135" s="104">
        <v>49330428</v>
      </c>
      <c r="Q135" s="98">
        <v>10958146</v>
      </c>
      <c r="R135" s="98">
        <v>5318041</v>
      </c>
      <c r="S135" s="98">
        <v>96614187</v>
      </c>
      <c r="T135" s="98">
        <v>111507331</v>
      </c>
      <c r="U135" s="99">
        <f t="shared" ref="U135:U146" si="53">SUM(P135:T135)</f>
        <v>273728133</v>
      </c>
    </row>
    <row r="136" spans="1:115" ht="18" customHeight="1">
      <c r="A136" s="13">
        <v>2010</v>
      </c>
      <c r="B136" s="14" t="s">
        <v>3</v>
      </c>
      <c r="C136" s="97">
        <v>2827588207</v>
      </c>
      <c r="D136" s="98">
        <f t="shared" si="50"/>
        <v>104355553</v>
      </c>
      <c r="E136" s="99">
        <f t="shared" si="51"/>
        <v>249561710</v>
      </c>
      <c r="F136" s="100">
        <v>19125887</v>
      </c>
      <c r="G136" s="98">
        <v>696017</v>
      </c>
      <c r="H136" s="100">
        <v>1680187</v>
      </c>
      <c r="I136" s="101">
        <v>9522501</v>
      </c>
      <c r="J136" s="98">
        <v>6876036</v>
      </c>
      <c r="K136" s="100">
        <v>5916766</v>
      </c>
      <c r="L136" s="98">
        <v>46502041</v>
      </c>
      <c r="M136" s="98">
        <v>35538209</v>
      </c>
      <c r="N136" s="102">
        <f t="shared" si="52"/>
        <v>104355553</v>
      </c>
      <c r="O136" s="103">
        <v>405815756</v>
      </c>
      <c r="P136" s="104">
        <v>45003170</v>
      </c>
      <c r="Q136" s="98">
        <v>10010912</v>
      </c>
      <c r="R136" s="98">
        <v>5282942</v>
      </c>
      <c r="S136" s="98">
        <v>87633185</v>
      </c>
      <c r="T136" s="98">
        <v>101631501</v>
      </c>
      <c r="U136" s="99">
        <f t="shared" si="53"/>
        <v>249561710</v>
      </c>
    </row>
    <row r="137" spans="1:115" ht="18" customHeight="1">
      <c r="A137" s="13">
        <v>2010</v>
      </c>
      <c r="B137" s="14" t="s">
        <v>4</v>
      </c>
      <c r="C137" s="97">
        <v>3187716702</v>
      </c>
      <c r="D137" s="98">
        <f t="shared" si="50"/>
        <v>116106592</v>
      </c>
      <c r="E137" s="99">
        <f t="shared" si="51"/>
        <v>281530716</v>
      </c>
      <c r="F137" s="100">
        <v>21376236</v>
      </c>
      <c r="G137" s="98">
        <v>773471</v>
      </c>
      <c r="H137" s="100">
        <v>1869693</v>
      </c>
      <c r="I137" s="101">
        <v>10479010</v>
      </c>
      <c r="J137" s="98">
        <v>9067850</v>
      </c>
      <c r="K137" s="100">
        <v>8621883</v>
      </c>
      <c r="L137" s="98">
        <v>46852288</v>
      </c>
      <c r="M137" s="98">
        <v>41085561</v>
      </c>
      <c r="N137" s="102">
        <f t="shared" si="52"/>
        <v>116106592</v>
      </c>
      <c r="O137" s="103">
        <v>448792732</v>
      </c>
      <c r="P137" s="104">
        <v>50057624</v>
      </c>
      <c r="Q137" s="98">
        <v>12286404</v>
      </c>
      <c r="R137" s="98">
        <v>7636786</v>
      </c>
      <c r="S137" s="98">
        <v>94311080</v>
      </c>
      <c r="T137" s="98">
        <v>117238822</v>
      </c>
      <c r="U137" s="99">
        <f t="shared" si="53"/>
        <v>281530716</v>
      </c>
    </row>
    <row r="138" spans="1:115" ht="18" customHeight="1">
      <c r="A138" s="13">
        <v>2010</v>
      </c>
      <c r="B138" s="14" t="s">
        <v>5</v>
      </c>
      <c r="C138" s="97">
        <v>3147220623</v>
      </c>
      <c r="D138" s="98">
        <f t="shared" si="50"/>
        <v>113048268</v>
      </c>
      <c r="E138" s="99">
        <f t="shared" si="51"/>
        <v>278058127</v>
      </c>
      <c r="F138" s="100">
        <v>20676524</v>
      </c>
      <c r="G138" s="98">
        <v>746975</v>
      </c>
      <c r="H138" s="100">
        <v>1804325</v>
      </c>
      <c r="I138" s="101">
        <v>10178097</v>
      </c>
      <c r="J138" s="98">
        <v>9243823</v>
      </c>
      <c r="K138" s="100">
        <v>10295707</v>
      </c>
      <c r="L138" s="98">
        <v>43516373</v>
      </c>
      <c r="M138" s="98">
        <v>39814268</v>
      </c>
      <c r="N138" s="102">
        <f t="shared" si="52"/>
        <v>113048268</v>
      </c>
      <c r="O138" s="103">
        <v>436794689</v>
      </c>
      <c r="P138" s="104">
        <v>48567474</v>
      </c>
      <c r="Q138" s="98">
        <v>11150240</v>
      </c>
      <c r="R138" s="98">
        <v>7856801</v>
      </c>
      <c r="S138" s="98">
        <v>97543190</v>
      </c>
      <c r="T138" s="98">
        <v>112940422</v>
      </c>
      <c r="U138" s="99">
        <f t="shared" si="53"/>
        <v>278058127</v>
      </c>
    </row>
    <row r="139" spans="1:115" ht="18" customHeight="1">
      <c r="A139" s="13">
        <v>2010</v>
      </c>
      <c r="B139" s="14" t="s">
        <v>6</v>
      </c>
      <c r="C139" s="97">
        <v>3246132950</v>
      </c>
      <c r="D139" s="98">
        <f t="shared" si="50"/>
        <v>115541804</v>
      </c>
      <c r="E139" s="99">
        <f t="shared" si="51"/>
        <v>287001420</v>
      </c>
      <c r="F139" s="100">
        <v>21333805</v>
      </c>
      <c r="G139" s="98">
        <v>771638</v>
      </c>
      <c r="H139" s="100">
        <v>1863340</v>
      </c>
      <c r="I139" s="101">
        <v>9795337</v>
      </c>
      <c r="J139" s="98">
        <v>10208503</v>
      </c>
      <c r="K139" s="100">
        <v>10170577</v>
      </c>
      <c r="L139" s="98">
        <v>44402161</v>
      </c>
      <c r="M139" s="98">
        <v>40965226</v>
      </c>
      <c r="N139" s="102">
        <f t="shared" si="52"/>
        <v>115541804</v>
      </c>
      <c r="O139" s="103">
        <v>431271572</v>
      </c>
      <c r="P139" s="104">
        <v>47758547</v>
      </c>
      <c r="Q139" s="98">
        <v>11903917</v>
      </c>
      <c r="R139" s="98">
        <v>7958711</v>
      </c>
      <c r="S139" s="98">
        <v>102468377</v>
      </c>
      <c r="T139" s="98">
        <v>116911868</v>
      </c>
      <c r="U139" s="99">
        <f t="shared" si="53"/>
        <v>287001420</v>
      </c>
    </row>
    <row r="140" spans="1:115" ht="18" customHeight="1">
      <c r="A140" s="13">
        <v>2010</v>
      </c>
      <c r="B140" s="14" t="s">
        <v>7</v>
      </c>
      <c r="C140" s="97">
        <v>3111048789</v>
      </c>
      <c r="D140" s="98">
        <f t="shared" si="50"/>
        <v>109269621</v>
      </c>
      <c r="E140" s="99">
        <f t="shared" si="51"/>
        <v>274063899</v>
      </c>
      <c r="F140" s="100">
        <v>20634214</v>
      </c>
      <c r="G140" s="98">
        <v>746714</v>
      </c>
      <c r="H140" s="100">
        <v>1803606</v>
      </c>
      <c r="I140" s="101">
        <v>9507392</v>
      </c>
      <c r="J140" s="98">
        <v>9931561</v>
      </c>
      <c r="K140" s="100">
        <v>10066693</v>
      </c>
      <c r="L140" s="98">
        <v>39629191</v>
      </c>
      <c r="M140" s="98">
        <v>40134784</v>
      </c>
      <c r="N140" s="102">
        <f t="shared" si="52"/>
        <v>109269621</v>
      </c>
      <c r="O140" s="103">
        <v>400548373</v>
      </c>
      <c r="P140" s="104">
        <v>44453841</v>
      </c>
      <c r="Q140" s="98">
        <v>11785799</v>
      </c>
      <c r="R140" s="98">
        <v>8124302</v>
      </c>
      <c r="S140" s="98">
        <v>94259220</v>
      </c>
      <c r="T140" s="98">
        <v>115440737</v>
      </c>
      <c r="U140" s="99">
        <f t="shared" si="53"/>
        <v>274063899</v>
      </c>
    </row>
    <row r="141" spans="1:115" ht="18" customHeight="1">
      <c r="A141" s="13">
        <v>2010</v>
      </c>
      <c r="B141" s="14" t="s">
        <v>8</v>
      </c>
      <c r="C141" s="97">
        <v>3116549437</v>
      </c>
      <c r="D141" s="98">
        <f t="shared" si="50"/>
        <v>108665627</v>
      </c>
      <c r="E141" s="99">
        <f t="shared" si="51"/>
        <v>273215494</v>
      </c>
      <c r="F141" s="100">
        <v>21304749</v>
      </c>
      <c r="G141" s="98">
        <v>770224</v>
      </c>
      <c r="H141" s="100">
        <v>1859709</v>
      </c>
      <c r="I141" s="101">
        <v>9705311</v>
      </c>
      <c r="J141" s="98">
        <v>9227992</v>
      </c>
      <c r="K141" s="100">
        <v>8876550</v>
      </c>
      <c r="L141" s="98">
        <v>38988318</v>
      </c>
      <c r="M141" s="98">
        <v>41867456</v>
      </c>
      <c r="N141" s="102">
        <f t="shared" si="52"/>
        <v>108665627</v>
      </c>
      <c r="O141" s="103">
        <v>401244326</v>
      </c>
      <c r="P141" s="104">
        <v>44539591</v>
      </c>
      <c r="Q141" s="98">
        <v>11616330</v>
      </c>
      <c r="R141" s="98">
        <v>7400713</v>
      </c>
      <c r="S141" s="98">
        <v>88600137</v>
      </c>
      <c r="T141" s="98">
        <v>121058723</v>
      </c>
      <c r="U141" s="99">
        <f t="shared" si="53"/>
        <v>273215494</v>
      </c>
    </row>
    <row r="142" spans="1:115" ht="18" customHeight="1">
      <c r="A142" s="13">
        <v>2010</v>
      </c>
      <c r="B142" s="14" t="s">
        <v>9</v>
      </c>
      <c r="C142" s="97">
        <v>3119948369</v>
      </c>
      <c r="D142" s="98">
        <f t="shared" si="50"/>
        <v>110194298</v>
      </c>
      <c r="E142" s="99">
        <f t="shared" si="51"/>
        <v>274337679</v>
      </c>
      <c r="F142" s="100">
        <v>21303918</v>
      </c>
      <c r="G142" s="98">
        <v>772232</v>
      </c>
      <c r="H142" s="100">
        <v>1865063</v>
      </c>
      <c r="I142" s="101">
        <v>10315849</v>
      </c>
      <c r="J142" s="98">
        <v>9738172</v>
      </c>
      <c r="K142" s="100">
        <v>10751610</v>
      </c>
      <c r="L142" s="98">
        <v>35969426</v>
      </c>
      <c r="M142" s="98">
        <v>43419241</v>
      </c>
      <c r="N142" s="102">
        <f t="shared" si="52"/>
        <v>110194298</v>
      </c>
      <c r="O142" s="103">
        <v>429397776</v>
      </c>
      <c r="P142" s="104">
        <v>47561180</v>
      </c>
      <c r="Q142" s="98">
        <v>11804553</v>
      </c>
      <c r="R142" s="98">
        <v>7936652</v>
      </c>
      <c r="S142" s="98">
        <v>83939648</v>
      </c>
      <c r="T142" s="98">
        <v>123095646</v>
      </c>
      <c r="U142" s="99">
        <f t="shared" si="53"/>
        <v>274337679</v>
      </c>
    </row>
    <row r="143" spans="1:115" ht="18" customHeight="1">
      <c r="A143" s="13">
        <v>2010</v>
      </c>
      <c r="B143" s="14" t="s">
        <v>10</v>
      </c>
      <c r="C143" s="97">
        <v>3018207823</v>
      </c>
      <c r="D143" s="98">
        <f t="shared" si="50"/>
        <v>108865893</v>
      </c>
      <c r="E143" s="99">
        <f t="shared" si="51"/>
        <v>266720180</v>
      </c>
      <c r="F143" s="100">
        <v>20494929</v>
      </c>
      <c r="G143" s="98">
        <v>748054</v>
      </c>
      <c r="H143" s="100">
        <v>1807674</v>
      </c>
      <c r="I143" s="101">
        <v>10265505</v>
      </c>
      <c r="J143" s="98">
        <v>10563458</v>
      </c>
      <c r="K143" s="100">
        <v>9176194</v>
      </c>
      <c r="L143" s="98">
        <v>35847865</v>
      </c>
      <c r="M143" s="98">
        <v>43012871</v>
      </c>
      <c r="N143" s="102">
        <f t="shared" si="52"/>
        <v>108865893</v>
      </c>
      <c r="O143" s="103">
        <v>434147903</v>
      </c>
      <c r="P143" s="104">
        <v>48164990</v>
      </c>
      <c r="Q143" s="98">
        <v>12020335</v>
      </c>
      <c r="R143" s="98">
        <v>6790621</v>
      </c>
      <c r="S143" s="98">
        <v>79772717</v>
      </c>
      <c r="T143" s="98">
        <v>119971517</v>
      </c>
      <c r="U143" s="99">
        <f t="shared" si="53"/>
        <v>266720180</v>
      </c>
    </row>
    <row r="144" spans="1:115" ht="18" customHeight="1">
      <c r="A144" s="13">
        <v>2010</v>
      </c>
      <c r="B144" s="14" t="s">
        <v>11</v>
      </c>
      <c r="C144" s="97">
        <v>3059242820</v>
      </c>
      <c r="D144" s="98">
        <f t="shared" si="50"/>
        <v>111695059</v>
      </c>
      <c r="E144" s="99">
        <f t="shared" si="51"/>
        <v>270736166</v>
      </c>
      <c r="F144" s="100">
        <v>21147413</v>
      </c>
      <c r="G144" s="98">
        <v>772093</v>
      </c>
      <c r="H144" s="100">
        <v>1867473</v>
      </c>
      <c r="I144" s="101">
        <v>10313629</v>
      </c>
      <c r="J144" s="98">
        <v>10867598</v>
      </c>
      <c r="K144" s="100">
        <v>6800737</v>
      </c>
      <c r="L144" s="98">
        <v>41663706</v>
      </c>
      <c r="M144" s="98">
        <v>42049389</v>
      </c>
      <c r="N144" s="102">
        <f t="shared" si="52"/>
        <v>111695059</v>
      </c>
      <c r="O144" s="103">
        <v>442849429</v>
      </c>
      <c r="P144" s="104">
        <v>49237975</v>
      </c>
      <c r="Q144" s="98">
        <v>11183606</v>
      </c>
      <c r="R144" s="98">
        <v>5599264</v>
      </c>
      <c r="S144" s="98">
        <v>85227469</v>
      </c>
      <c r="T144" s="98">
        <v>119487852</v>
      </c>
      <c r="U144" s="99">
        <f t="shared" si="53"/>
        <v>270736166</v>
      </c>
    </row>
    <row r="145" spans="1:115" ht="18" customHeight="1">
      <c r="A145" s="13">
        <v>2010</v>
      </c>
      <c r="B145" s="14" t="s">
        <v>12</v>
      </c>
      <c r="C145" s="97">
        <v>2995527263</v>
      </c>
      <c r="D145" s="98">
        <f t="shared" si="50"/>
        <v>112505373</v>
      </c>
      <c r="E145" s="99">
        <f t="shared" si="51"/>
        <v>267270990</v>
      </c>
      <c r="F145" s="100">
        <v>20285941</v>
      </c>
      <c r="G145" s="98">
        <v>746628</v>
      </c>
      <c r="H145" s="100">
        <v>1804285</v>
      </c>
      <c r="I145" s="101">
        <v>10437759</v>
      </c>
      <c r="J145" s="98">
        <v>10341474</v>
      </c>
      <c r="K145" s="100">
        <v>4945259</v>
      </c>
      <c r="L145" s="98">
        <v>43475298</v>
      </c>
      <c r="M145" s="98">
        <v>43305583</v>
      </c>
      <c r="N145" s="102">
        <f t="shared" si="52"/>
        <v>112505373</v>
      </c>
      <c r="O145" s="103">
        <v>430647754</v>
      </c>
      <c r="P145" s="104">
        <v>47969937</v>
      </c>
      <c r="Q145" s="98">
        <v>11594564</v>
      </c>
      <c r="R145" s="98">
        <v>4600265</v>
      </c>
      <c r="S145" s="98">
        <v>85208527</v>
      </c>
      <c r="T145" s="98">
        <v>117897697</v>
      </c>
      <c r="U145" s="99">
        <f t="shared" si="53"/>
        <v>267270990</v>
      </c>
    </row>
    <row r="146" spans="1:115" s="6" customFormat="1" ht="18" customHeight="1" thickBot="1">
      <c r="A146" s="15">
        <v>2010</v>
      </c>
      <c r="B146" s="7" t="s">
        <v>13</v>
      </c>
      <c r="C146" s="113">
        <v>3088878890</v>
      </c>
      <c r="D146" s="114">
        <f t="shared" si="50"/>
        <v>117869807</v>
      </c>
      <c r="E146" s="115">
        <f t="shared" si="51"/>
        <v>275750985</v>
      </c>
      <c r="F146" s="116">
        <v>20926467</v>
      </c>
      <c r="G146" s="114">
        <v>771832</v>
      </c>
      <c r="H146" s="116">
        <v>1865634</v>
      </c>
      <c r="I146" s="117">
        <v>10742908</v>
      </c>
      <c r="J146" s="114">
        <v>8809690</v>
      </c>
      <c r="K146" s="116">
        <v>4400814</v>
      </c>
      <c r="L146" s="114">
        <v>50548041</v>
      </c>
      <c r="M146" s="114">
        <v>43368354</v>
      </c>
      <c r="N146" s="118">
        <f t="shared" si="52"/>
        <v>117869807</v>
      </c>
      <c r="O146" s="119">
        <v>439166721</v>
      </c>
      <c r="P146" s="120">
        <v>48894449</v>
      </c>
      <c r="Q146" s="114">
        <v>10970583</v>
      </c>
      <c r="R146" s="114">
        <v>3854648</v>
      </c>
      <c r="S146" s="114">
        <v>93425274</v>
      </c>
      <c r="T146" s="114">
        <v>118606031</v>
      </c>
      <c r="U146" s="115">
        <f t="shared" si="53"/>
        <v>275750985</v>
      </c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</row>
    <row r="147" spans="1:115" s="24" customFormat="1" ht="18" customHeight="1" thickTop="1" thickBot="1">
      <c r="A147" s="20">
        <v>2010</v>
      </c>
      <c r="B147" s="21" t="s">
        <v>14</v>
      </c>
      <c r="C147" s="121">
        <f t="shared" ref="C147:U147" si="54">SUM(C135:C146)</f>
        <v>37006885103</v>
      </c>
      <c r="D147" s="122">
        <f t="shared" si="54"/>
        <v>1344139318</v>
      </c>
      <c r="E147" s="123">
        <f t="shared" si="54"/>
        <v>3271975499</v>
      </c>
      <c r="F147" s="124">
        <f t="shared" si="54"/>
        <v>250028749</v>
      </c>
      <c r="G147" s="122">
        <f t="shared" si="54"/>
        <v>9095188</v>
      </c>
      <c r="H147" s="124">
        <f t="shared" si="54"/>
        <v>21981827</v>
      </c>
      <c r="I147" s="125">
        <f t="shared" si="54"/>
        <v>121595449</v>
      </c>
      <c r="J147" s="122">
        <f t="shared" si="54"/>
        <v>112730138</v>
      </c>
      <c r="K147" s="124">
        <f t="shared" si="54"/>
        <v>95862150</v>
      </c>
      <c r="L147" s="122">
        <f t="shared" si="54"/>
        <v>519026486</v>
      </c>
      <c r="M147" s="122">
        <f t="shared" si="54"/>
        <v>494925095</v>
      </c>
      <c r="N147" s="126">
        <f t="shared" si="54"/>
        <v>1344139318</v>
      </c>
      <c r="O147" s="127">
        <f t="shared" si="54"/>
        <v>5143456669</v>
      </c>
      <c r="P147" s="128">
        <f t="shared" si="54"/>
        <v>571539206</v>
      </c>
      <c r="Q147" s="122">
        <f t="shared" si="54"/>
        <v>137285389</v>
      </c>
      <c r="R147" s="122">
        <f t="shared" si="54"/>
        <v>78359746</v>
      </c>
      <c r="S147" s="122">
        <f t="shared" si="54"/>
        <v>1089003011</v>
      </c>
      <c r="T147" s="122">
        <f t="shared" si="54"/>
        <v>1395788147</v>
      </c>
      <c r="U147" s="123">
        <f t="shared" si="54"/>
        <v>3271975499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</row>
    <row r="148" spans="1:115" ht="18" customHeight="1" thickTop="1">
      <c r="A148" s="13">
        <v>2011</v>
      </c>
      <c r="B148" s="14" t="s">
        <v>2</v>
      </c>
      <c r="C148" s="97">
        <v>3247116004</v>
      </c>
      <c r="D148" s="98">
        <f t="shared" ref="D148:D159" si="55">+N148</f>
        <v>124421437</v>
      </c>
      <c r="E148" s="99">
        <f t="shared" ref="E148:E159" si="56">+U148</f>
        <v>288901654</v>
      </c>
      <c r="F148" s="100">
        <v>21044448</v>
      </c>
      <c r="G148" s="98">
        <v>771712</v>
      </c>
      <c r="H148" s="100">
        <v>1866176</v>
      </c>
      <c r="I148" s="101">
        <v>10107067</v>
      </c>
      <c r="J148" s="98">
        <v>7266172</v>
      </c>
      <c r="K148" s="100">
        <v>6044266</v>
      </c>
      <c r="L148" s="98">
        <v>52334895</v>
      </c>
      <c r="M148" s="98">
        <v>48669037</v>
      </c>
      <c r="N148" s="102">
        <f t="shared" ref="N148:N159" si="57">SUM(I148:M148)</f>
        <v>124421437</v>
      </c>
      <c r="O148" s="103">
        <v>440090362</v>
      </c>
      <c r="P148" s="104">
        <v>48946876</v>
      </c>
      <c r="Q148" s="98">
        <v>10939875</v>
      </c>
      <c r="R148" s="98">
        <v>5732376</v>
      </c>
      <c r="S148" s="98">
        <v>92275056</v>
      </c>
      <c r="T148" s="98">
        <v>131007471</v>
      </c>
      <c r="U148" s="99">
        <f t="shared" ref="U148:U159" si="58">SUM(P148:T148)</f>
        <v>288901654</v>
      </c>
    </row>
    <row r="149" spans="1:115" ht="18" customHeight="1">
      <c r="A149" s="13">
        <v>2011</v>
      </c>
      <c r="B149" s="14" t="s">
        <v>3</v>
      </c>
      <c r="C149" s="97">
        <v>3028854495</v>
      </c>
      <c r="D149" s="98">
        <f t="shared" si="55"/>
        <v>114632111</v>
      </c>
      <c r="E149" s="99">
        <f t="shared" si="56"/>
        <v>268736263</v>
      </c>
      <c r="F149" s="100">
        <v>19085508</v>
      </c>
      <c r="G149" s="98">
        <v>697037</v>
      </c>
      <c r="H149" s="100">
        <v>1685374</v>
      </c>
      <c r="I149" s="101">
        <v>9128694</v>
      </c>
      <c r="J149" s="98">
        <v>8361087</v>
      </c>
      <c r="K149" s="100">
        <v>7159632</v>
      </c>
      <c r="L149" s="98">
        <v>46820360</v>
      </c>
      <c r="M149" s="98">
        <v>43162338</v>
      </c>
      <c r="N149" s="102">
        <f t="shared" si="57"/>
        <v>114632111</v>
      </c>
      <c r="O149" s="103">
        <v>393652811</v>
      </c>
      <c r="P149" s="104">
        <v>43679563</v>
      </c>
      <c r="Q149" s="98">
        <v>10518259</v>
      </c>
      <c r="R149" s="98">
        <v>6431319</v>
      </c>
      <c r="S149" s="98">
        <v>87698466</v>
      </c>
      <c r="T149" s="98">
        <v>120408656</v>
      </c>
      <c r="U149" s="99">
        <f t="shared" si="58"/>
        <v>268736263</v>
      </c>
    </row>
    <row r="150" spans="1:115" ht="18" customHeight="1">
      <c r="A150" s="13">
        <v>2011</v>
      </c>
      <c r="B150" s="14" t="s">
        <v>4</v>
      </c>
      <c r="C150" s="97">
        <v>3439776345</v>
      </c>
      <c r="D150" s="98">
        <f t="shared" si="55"/>
        <v>128351476</v>
      </c>
      <c r="E150" s="99">
        <f t="shared" si="56"/>
        <v>304840523</v>
      </c>
      <c r="F150" s="100">
        <v>21180054</v>
      </c>
      <c r="G150" s="98">
        <v>771837</v>
      </c>
      <c r="H150" s="100">
        <v>1866225</v>
      </c>
      <c r="I150" s="101">
        <v>10114300</v>
      </c>
      <c r="J150" s="98">
        <v>9856320</v>
      </c>
      <c r="K150" s="100">
        <v>9767461</v>
      </c>
      <c r="L150" s="98">
        <v>50600711</v>
      </c>
      <c r="M150" s="98">
        <v>48012684</v>
      </c>
      <c r="N150" s="102">
        <f t="shared" si="57"/>
        <v>128351476</v>
      </c>
      <c r="O150" s="103">
        <v>451153310</v>
      </c>
      <c r="P150" s="104">
        <v>50029781</v>
      </c>
      <c r="Q150" s="98">
        <v>11469451</v>
      </c>
      <c r="R150" s="98">
        <v>8199359</v>
      </c>
      <c r="S150" s="98">
        <v>101745596</v>
      </c>
      <c r="T150" s="98">
        <v>133396336</v>
      </c>
      <c r="U150" s="99">
        <f t="shared" si="58"/>
        <v>304840523</v>
      </c>
    </row>
    <row r="151" spans="1:115" ht="18" customHeight="1">
      <c r="A151" s="13">
        <v>2011</v>
      </c>
      <c r="B151" s="14" t="s">
        <v>5</v>
      </c>
      <c r="C151" s="97">
        <v>3368668650</v>
      </c>
      <c r="D151" s="98">
        <f t="shared" si="55"/>
        <v>124017392</v>
      </c>
      <c r="E151" s="99">
        <f t="shared" si="56"/>
        <v>297625625</v>
      </c>
      <c r="F151" s="100">
        <v>20516925</v>
      </c>
      <c r="G151" s="98">
        <v>746603</v>
      </c>
      <c r="H151" s="100">
        <v>1802351</v>
      </c>
      <c r="I151" s="101">
        <v>9069285</v>
      </c>
      <c r="J151" s="98">
        <v>7697876</v>
      </c>
      <c r="K151" s="100">
        <v>7540842</v>
      </c>
      <c r="L151" s="98">
        <v>52380973</v>
      </c>
      <c r="M151" s="98">
        <v>47328416</v>
      </c>
      <c r="N151" s="102">
        <f t="shared" si="57"/>
        <v>124017392</v>
      </c>
      <c r="O151" s="103">
        <v>399358511</v>
      </c>
      <c r="P151" s="104">
        <v>44262106</v>
      </c>
      <c r="Q151" s="98">
        <v>11031493</v>
      </c>
      <c r="R151" s="98">
        <v>7016168</v>
      </c>
      <c r="S151" s="98">
        <v>103664547</v>
      </c>
      <c r="T151" s="98">
        <v>131651311</v>
      </c>
      <c r="U151" s="99">
        <f t="shared" si="58"/>
        <v>297625625</v>
      </c>
    </row>
    <row r="152" spans="1:115" ht="18" customHeight="1">
      <c r="A152" s="13">
        <v>2011</v>
      </c>
      <c r="B152" s="14" t="s">
        <v>6</v>
      </c>
      <c r="C152" s="97">
        <v>3527429161</v>
      </c>
      <c r="D152" s="98">
        <f t="shared" si="55"/>
        <v>128698813</v>
      </c>
      <c r="E152" s="99">
        <f t="shared" si="56"/>
        <v>311869030</v>
      </c>
      <c r="F152" s="100">
        <v>21213295</v>
      </c>
      <c r="G152" s="98">
        <v>771554</v>
      </c>
      <c r="H152" s="100">
        <v>1865318</v>
      </c>
      <c r="I152" s="101">
        <v>9797775</v>
      </c>
      <c r="J152" s="98">
        <v>9130520</v>
      </c>
      <c r="K152" s="100">
        <v>7595829</v>
      </c>
      <c r="L152" s="98">
        <v>53130431</v>
      </c>
      <c r="M152" s="98">
        <v>49044258</v>
      </c>
      <c r="N152" s="102">
        <f t="shared" si="57"/>
        <v>128698813</v>
      </c>
      <c r="O152" s="103">
        <v>431010318</v>
      </c>
      <c r="P152" s="104">
        <v>47730334</v>
      </c>
      <c r="Q152" s="98">
        <v>11756521</v>
      </c>
      <c r="R152" s="98">
        <v>7489214</v>
      </c>
      <c r="S152" s="98">
        <v>106038115</v>
      </c>
      <c r="T152" s="98">
        <v>138854846</v>
      </c>
      <c r="U152" s="99">
        <f t="shared" si="58"/>
        <v>311869030</v>
      </c>
    </row>
    <row r="153" spans="1:115" ht="18" customHeight="1">
      <c r="A153" s="13">
        <v>2011</v>
      </c>
      <c r="B153" s="14" t="s">
        <v>7</v>
      </c>
      <c r="C153" s="97">
        <v>3361817762</v>
      </c>
      <c r="D153" s="98">
        <f t="shared" si="55"/>
        <v>122043338</v>
      </c>
      <c r="E153" s="99">
        <f t="shared" si="56"/>
        <v>295991341</v>
      </c>
      <c r="F153" s="100">
        <v>20644462</v>
      </c>
      <c r="G153" s="98">
        <v>747199</v>
      </c>
      <c r="H153" s="100">
        <v>1807456</v>
      </c>
      <c r="I153" s="101">
        <v>9255074</v>
      </c>
      <c r="J153" s="98">
        <v>9987514</v>
      </c>
      <c r="K153" s="100">
        <v>10119968</v>
      </c>
      <c r="L153" s="98">
        <v>46260883</v>
      </c>
      <c r="M153" s="98">
        <v>46419899</v>
      </c>
      <c r="N153" s="102">
        <f t="shared" si="57"/>
        <v>122043338</v>
      </c>
      <c r="O153" s="103">
        <v>392496238</v>
      </c>
      <c r="P153" s="104">
        <v>43447622</v>
      </c>
      <c r="Q153" s="98">
        <v>12281133</v>
      </c>
      <c r="R153" s="98">
        <v>8070670</v>
      </c>
      <c r="S153" s="98">
        <v>101898874</v>
      </c>
      <c r="T153" s="98">
        <v>130293042</v>
      </c>
      <c r="U153" s="99">
        <f t="shared" si="58"/>
        <v>295991341</v>
      </c>
    </row>
    <row r="154" spans="1:115" ht="18" customHeight="1">
      <c r="A154" s="13">
        <v>2011</v>
      </c>
      <c r="B154" s="14" t="s">
        <v>8</v>
      </c>
      <c r="C154" s="97">
        <v>3390297942</v>
      </c>
      <c r="D154" s="98">
        <f t="shared" si="55"/>
        <v>120951781</v>
      </c>
      <c r="E154" s="99">
        <f t="shared" si="56"/>
        <v>297209156</v>
      </c>
      <c r="F154" s="100">
        <v>21363935</v>
      </c>
      <c r="G154" s="98">
        <v>770323</v>
      </c>
      <c r="H154" s="100">
        <v>1861546</v>
      </c>
      <c r="I154" s="101">
        <v>9202978</v>
      </c>
      <c r="J154" s="98">
        <v>9233172</v>
      </c>
      <c r="K154" s="100">
        <v>9486334</v>
      </c>
      <c r="L154" s="98">
        <v>46204049</v>
      </c>
      <c r="M154" s="98">
        <v>46825248</v>
      </c>
      <c r="N154" s="102">
        <f t="shared" si="57"/>
        <v>120951781</v>
      </c>
      <c r="O154" s="103">
        <v>380080942</v>
      </c>
      <c r="P154" s="104">
        <v>42115504</v>
      </c>
      <c r="Q154" s="98">
        <v>12062357</v>
      </c>
      <c r="R154" s="98">
        <v>7814172</v>
      </c>
      <c r="S154" s="98">
        <v>102092224</v>
      </c>
      <c r="T154" s="98">
        <v>133124899</v>
      </c>
      <c r="U154" s="99">
        <f t="shared" si="58"/>
        <v>297209156</v>
      </c>
    </row>
    <row r="155" spans="1:115" ht="18" customHeight="1">
      <c r="A155" s="13">
        <v>2011</v>
      </c>
      <c r="B155" s="14" t="s">
        <v>9</v>
      </c>
      <c r="C155" s="97">
        <v>3356387792</v>
      </c>
      <c r="D155" s="98">
        <f t="shared" si="55"/>
        <v>120689078</v>
      </c>
      <c r="E155" s="99">
        <f t="shared" si="56"/>
        <v>295383281</v>
      </c>
      <c r="F155" s="100">
        <v>21344054</v>
      </c>
      <c r="G155" s="98">
        <v>771056</v>
      </c>
      <c r="H155" s="100">
        <v>1863299</v>
      </c>
      <c r="I155" s="101">
        <v>10100017</v>
      </c>
      <c r="J155" s="98">
        <v>8713567</v>
      </c>
      <c r="K155" s="100">
        <v>9626495</v>
      </c>
      <c r="L155" s="98">
        <v>44137753</v>
      </c>
      <c r="M155" s="98">
        <v>48111246</v>
      </c>
      <c r="N155" s="102">
        <f t="shared" si="57"/>
        <v>120689078</v>
      </c>
      <c r="O155" s="103">
        <v>424487185</v>
      </c>
      <c r="P155" s="104">
        <v>47066168</v>
      </c>
      <c r="Q155" s="98">
        <v>12250000</v>
      </c>
      <c r="R155" s="98">
        <v>7918948</v>
      </c>
      <c r="S155" s="98">
        <v>92563688</v>
      </c>
      <c r="T155" s="98">
        <v>135584477</v>
      </c>
      <c r="U155" s="99">
        <f t="shared" si="58"/>
        <v>295383281</v>
      </c>
    </row>
    <row r="156" spans="1:115" ht="18" customHeight="1">
      <c r="A156" s="13">
        <v>2011</v>
      </c>
      <c r="B156" s="14" t="s">
        <v>10</v>
      </c>
      <c r="C156" s="97">
        <v>3174956443</v>
      </c>
      <c r="D156" s="98">
        <f t="shared" si="55"/>
        <v>115154239</v>
      </c>
      <c r="E156" s="99">
        <f t="shared" si="56"/>
        <v>280237926</v>
      </c>
      <c r="F156" s="100">
        <v>20496966</v>
      </c>
      <c r="G156" s="98">
        <v>744131</v>
      </c>
      <c r="H156" s="100">
        <v>1797582</v>
      </c>
      <c r="I156" s="101">
        <v>9755534</v>
      </c>
      <c r="J156" s="98">
        <v>8240995</v>
      </c>
      <c r="K156" s="100">
        <v>7448256</v>
      </c>
      <c r="L156" s="98">
        <v>43914048</v>
      </c>
      <c r="M156" s="98">
        <v>45795406</v>
      </c>
      <c r="N156" s="102">
        <f t="shared" si="57"/>
        <v>115154239</v>
      </c>
      <c r="O156" s="103">
        <v>423519311</v>
      </c>
      <c r="P156" s="104">
        <v>47049249</v>
      </c>
      <c r="Q156" s="98">
        <v>11498880</v>
      </c>
      <c r="R156" s="98">
        <v>6253481</v>
      </c>
      <c r="S156" s="98">
        <v>85845646</v>
      </c>
      <c r="T156" s="98">
        <v>129590670</v>
      </c>
      <c r="U156" s="99">
        <f t="shared" si="58"/>
        <v>280237926</v>
      </c>
    </row>
    <row r="157" spans="1:115" ht="18" customHeight="1">
      <c r="A157" s="13">
        <v>2011</v>
      </c>
      <c r="B157" s="14" t="s">
        <v>11</v>
      </c>
      <c r="C157" s="97">
        <v>3282640006</v>
      </c>
      <c r="D157" s="98">
        <f t="shared" si="55"/>
        <v>121512725</v>
      </c>
      <c r="E157" s="99">
        <f t="shared" si="56"/>
        <v>291729908</v>
      </c>
      <c r="F157" s="100">
        <v>21113620</v>
      </c>
      <c r="G157" s="98">
        <v>769408</v>
      </c>
      <c r="H157" s="100">
        <v>1859379</v>
      </c>
      <c r="I157" s="101">
        <v>9968991</v>
      </c>
      <c r="J157" s="98">
        <v>9428306</v>
      </c>
      <c r="K157" s="100">
        <v>6952565</v>
      </c>
      <c r="L157" s="98">
        <v>47198268</v>
      </c>
      <c r="M157" s="98">
        <v>47964595</v>
      </c>
      <c r="N157" s="102">
        <f t="shared" si="57"/>
        <v>121512725</v>
      </c>
      <c r="O157" s="103">
        <v>434179112</v>
      </c>
      <c r="P157" s="104">
        <v>48477125</v>
      </c>
      <c r="Q157" s="98">
        <v>12210871</v>
      </c>
      <c r="R157" s="98">
        <v>6191110</v>
      </c>
      <c r="S157" s="98">
        <v>88969805</v>
      </c>
      <c r="T157" s="98">
        <v>135880997</v>
      </c>
      <c r="U157" s="99">
        <f t="shared" si="58"/>
        <v>291729908</v>
      </c>
    </row>
    <row r="158" spans="1:115" ht="18" customHeight="1">
      <c r="A158" s="13">
        <v>2011</v>
      </c>
      <c r="B158" s="14" t="s">
        <v>12</v>
      </c>
      <c r="C158" s="97">
        <v>3205364283</v>
      </c>
      <c r="D158" s="98">
        <f t="shared" si="55"/>
        <v>121502692</v>
      </c>
      <c r="E158" s="99">
        <f t="shared" si="56"/>
        <v>287538431</v>
      </c>
      <c r="F158" s="100">
        <v>20269666</v>
      </c>
      <c r="G158" s="98">
        <v>744626</v>
      </c>
      <c r="H158" s="100">
        <v>1799574</v>
      </c>
      <c r="I158" s="101">
        <v>9983020</v>
      </c>
      <c r="J158" s="98">
        <v>10155562</v>
      </c>
      <c r="K158" s="100">
        <v>5661646</v>
      </c>
      <c r="L158" s="98">
        <v>49290931</v>
      </c>
      <c r="M158" s="98">
        <v>46411533</v>
      </c>
      <c r="N158" s="102">
        <f t="shared" si="57"/>
        <v>121502692</v>
      </c>
      <c r="O158" s="103">
        <v>432276464</v>
      </c>
      <c r="P158" s="104">
        <v>48221500</v>
      </c>
      <c r="Q158" s="98">
        <v>11753624</v>
      </c>
      <c r="R158" s="98">
        <v>5311004</v>
      </c>
      <c r="S158" s="98">
        <v>92437337</v>
      </c>
      <c r="T158" s="98">
        <v>129814966</v>
      </c>
      <c r="U158" s="99">
        <f t="shared" si="58"/>
        <v>287538431</v>
      </c>
    </row>
    <row r="159" spans="1:115" s="6" customFormat="1" ht="18" customHeight="1" thickBot="1">
      <c r="A159" s="13">
        <v>2011</v>
      </c>
      <c r="B159" s="14" t="s">
        <v>13</v>
      </c>
      <c r="C159" s="97">
        <v>3352871165</v>
      </c>
      <c r="D159" s="98">
        <f t="shared" si="55"/>
        <v>128306814</v>
      </c>
      <c r="E159" s="99">
        <f t="shared" si="56"/>
        <v>300967666</v>
      </c>
      <c r="F159" s="100">
        <v>20929208</v>
      </c>
      <c r="G159" s="98">
        <v>769537</v>
      </c>
      <c r="H159" s="100">
        <v>1859441</v>
      </c>
      <c r="I159" s="101">
        <v>10005335</v>
      </c>
      <c r="J159" s="98">
        <v>8993614</v>
      </c>
      <c r="K159" s="100">
        <v>4214257</v>
      </c>
      <c r="L159" s="98">
        <v>56054922</v>
      </c>
      <c r="M159" s="98">
        <v>49038686</v>
      </c>
      <c r="N159" s="102">
        <f t="shared" si="57"/>
        <v>128306814</v>
      </c>
      <c r="O159" s="103">
        <v>420946400</v>
      </c>
      <c r="P159" s="104">
        <v>46974062</v>
      </c>
      <c r="Q159" s="98">
        <v>11158950</v>
      </c>
      <c r="R159" s="98">
        <v>4422485</v>
      </c>
      <c r="S159" s="98">
        <v>103281523</v>
      </c>
      <c r="T159" s="98">
        <v>135130646</v>
      </c>
      <c r="U159" s="99">
        <f t="shared" si="58"/>
        <v>300967666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</row>
    <row r="160" spans="1:115" s="24" customFormat="1" ht="18" customHeight="1" thickTop="1" thickBot="1">
      <c r="A160" s="22">
        <v>2011</v>
      </c>
      <c r="B160" s="23" t="s">
        <v>14</v>
      </c>
      <c r="C160" s="105">
        <f t="shared" ref="C160:U160" si="59">SUM(C148:C159)</f>
        <v>39736180048</v>
      </c>
      <c r="D160" s="106">
        <f t="shared" si="59"/>
        <v>1470281896</v>
      </c>
      <c r="E160" s="107">
        <f t="shared" si="59"/>
        <v>3521030804</v>
      </c>
      <c r="F160" s="108">
        <f t="shared" si="59"/>
        <v>249202141</v>
      </c>
      <c r="G160" s="106">
        <f t="shared" si="59"/>
        <v>9075023</v>
      </c>
      <c r="H160" s="108">
        <f t="shared" si="59"/>
        <v>21933721</v>
      </c>
      <c r="I160" s="109">
        <f t="shared" si="59"/>
        <v>116488070</v>
      </c>
      <c r="J160" s="106">
        <f t="shared" si="59"/>
        <v>107064705</v>
      </c>
      <c r="K160" s="108">
        <f t="shared" si="59"/>
        <v>91617551</v>
      </c>
      <c r="L160" s="106">
        <f t="shared" si="59"/>
        <v>588328224</v>
      </c>
      <c r="M160" s="106">
        <f t="shared" si="59"/>
        <v>566783346</v>
      </c>
      <c r="N160" s="110">
        <f t="shared" si="59"/>
        <v>1470281896</v>
      </c>
      <c r="O160" s="111">
        <f t="shared" si="59"/>
        <v>5023250964</v>
      </c>
      <c r="P160" s="112">
        <f t="shared" si="59"/>
        <v>557999890</v>
      </c>
      <c r="Q160" s="106">
        <f t="shared" si="59"/>
        <v>138931414</v>
      </c>
      <c r="R160" s="106">
        <f t="shared" si="59"/>
        <v>80850306</v>
      </c>
      <c r="S160" s="106">
        <f t="shared" si="59"/>
        <v>1158510877</v>
      </c>
      <c r="T160" s="106">
        <f t="shared" si="59"/>
        <v>1584738317</v>
      </c>
      <c r="U160" s="107">
        <f t="shared" si="59"/>
        <v>3521030804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15" ht="18" customHeight="1" thickTop="1">
      <c r="A161" s="13">
        <v>2012</v>
      </c>
      <c r="B161" s="14" t="s">
        <v>2</v>
      </c>
      <c r="C161" s="97">
        <v>3503922644</v>
      </c>
      <c r="D161" s="98">
        <f t="shared" ref="D161:D172" si="60">+N161</f>
        <v>132651332</v>
      </c>
      <c r="E161" s="99">
        <f t="shared" ref="E161:E172" si="61">+U161</f>
        <v>312805151</v>
      </c>
      <c r="F161" s="100">
        <v>21057704</v>
      </c>
      <c r="G161" s="98">
        <v>769180</v>
      </c>
      <c r="H161" s="100">
        <v>1859368</v>
      </c>
      <c r="I161" s="101">
        <v>10022939</v>
      </c>
      <c r="J161" s="98">
        <v>7684366</v>
      </c>
      <c r="K161" s="100">
        <v>5618060</v>
      </c>
      <c r="L161" s="98">
        <v>59046312</v>
      </c>
      <c r="M161" s="98">
        <v>50279655</v>
      </c>
      <c r="N161" s="102">
        <f t="shared" ref="N161:N172" si="62">SUM(I161:M161)</f>
        <v>132651332</v>
      </c>
      <c r="O161" s="103">
        <v>438031771</v>
      </c>
      <c r="P161" s="104">
        <v>48800744</v>
      </c>
      <c r="Q161" s="98">
        <v>12312058</v>
      </c>
      <c r="R161" s="98">
        <v>5815276</v>
      </c>
      <c r="S161" s="98">
        <v>107976680</v>
      </c>
      <c r="T161" s="98">
        <v>137900393</v>
      </c>
      <c r="U161" s="99">
        <f t="shared" ref="U161:U172" si="63">SUM(P161:T161)</f>
        <v>312805151</v>
      </c>
    </row>
    <row r="162" spans="1:115" ht="18" customHeight="1">
      <c r="A162" s="13">
        <v>2012</v>
      </c>
      <c r="B162" s="14" t="s">
        <v>3</v>
      </c>
      <c r="C162" s="97">
        <v>3406725978</v>
      </c>
      <c r="D162" s="98">
        <f t="shared" si="60"/>
        <v>127297587</v>
      </c>
      <c r="E162" s="99">
        <f t="shared" si="61"/>
        <v>302751388</v>
      </c>
      <c r="F162" s="100">
        <v>19789189</v>
      </c>
      <c r="G162" s="98">
        <v>720156</v>
      </c>
      <c r="H162" s="100">
        <v>1740905</v>
      </c>
      <c r="I162" s="101">
        <v>9197440</v>
      </c>
      <c r="J162" s="98">
        <v>7833640</v>
      </c>
      <c r="K162" s="100">
        <v>6137864</v>
      </c>
      <c r="L162" s="98">
        <v>55551538</v>
      </c>
      <c r="M162" s="98">
        <v>48577105</v>
      </c>
      <c r="N162" s="102">
        <f t="shared" si="62"/>
        <v>127297587</v>
      </c>
      <c r="O162" s="103">
        <v>399572287</v>
      </c>
      <c r="P162" s="104">
        <v>44457712</v>
      </c>
      <c r="Q162" s="98">
        <v>11611530</v>
      </c>
      <c r="R162" s="98">
        <v>6765826</v>
      </c>
      <c r="S162" s="98">
        <v>105791551</v>
      </c>
      <c r="T162" s="98">
        <v>134124769</v>
      </c>
      <c r="U162" s="99">
        <f t="shared" si="63"/>
        <v>302751388</v>
      </c>
    </row>
    <row r="163" spans="1:115" ht="18" customHeight="1">
      <c r="A163" s="13">
        <v>2012</v>
      </c>
      <c r="B163" s="14" t="s">
        <v>4</v>
      </c>
      <c r="C163" s="97">
        <v>3695520970</v>
      </c>
      <c r="D163" s="98">
        <f t="shared" si="60"/>
        <v>137580540</v>
      </c>
      <c r="E163" s="99">
        <f t="shared" si="61"/>
        <v>328221516</v>
      </c>
      <c r="F163" s="100">
        <v>21147366</v>
      </c>
      <c r="G163" s="98">
        <v>769487</v>
      </c>
      <c r="H163" s="100">
        <v>1860084</v>
      </c>
      <c r="I163" s="101">
        <v>9715135</v>
      </c>
      <c r="J163" s="98">
        <v>8454836</v>
      </c>
      <c r="K163" s="100">
        <v>6682534</v>
      </c>
      <c r="L163" s="98">
        <v>60904898</v>
      </c>
      <c r="M163" s="98">
        <v>51823137</v>
      </c>
      <c r="N163" s="102">
        <f t="shared" si="62"/>
        <v>137580540</v>
      </c>
      <c r="O163" s="103">
        <v>420505308</v>
      </c>
      <c r="P163" s="104">
        <v>46856956</v>
      </c>
      <c r="Q163" s="98">
        <v>11718931</v>
      </c>
      <c r="R163" s="98">
        <v>8601761</v>
      </c>
      <c r="S163" s="98">
        <v>116437507</v>
      </c>
      <c r="T163" s="98">
        <v>144606361</v>
      </c>
      <c r="U163" s="99">
        <f t="shared" si="63"/>
        <v>328221516</v>
      </c>
    </row>
    <row r="164" spans="1:115" ht="18" customHeight="1">
      <c r="A164" s="13">
        <v>2012</v>
      </c>
      <c r="B164" s="14" t="s">
        <v>5</v>
      </c>
      <c r="C164" s="97">
        <v>3527542167</v>
      </c>
      <c r="D164" s="98">
        <f t="shared" si="60"/>
        <v>129688971</v>
      </c>
      <c r="E164" s="99">
        <f t="shared" si="61"/>
        <v>312987710</v>
      </c>
      <c r="F164" s="100">
        <v>20482835</v>
      </c>
      <c r="G164" s="98">
        <v>744801</v>
      </c>
      <c r="H164" s="100">
        <v>1800275</v>
      </c>
      <c r="I164" s="101">
        <v>9447845</v>
      </c>
      <c r="J164" s="98">
        <v>8023994</v>
      </c>
      <c r="K164" s="100">
        <v>7168289</v>
      </c>
      <c r="L164" s="98">
        <v>55983417</v>
      </c>
      <c r="M164" s="98">
        <v>49065426</v>
      </c>
      <c r="N164" s="102">
        <f t="shared" si="62"/>
        <v>129688971</v>
      </c>
      <c r="O164" s="103">
        <v>407743772</v>
      </c>
      <c r="P164" s="104">
        <v>45421899</v>
      </c>
      <c r="Q164" s="98">
        <v>11569461</v>
      </c>
      <c r="R164" s="98">
        <v>7563294</v>
      </c>
      <c r="S164" s="98">
        <v>109552202</v>
      </c>
      <c r="T164" s="98">
        <v>138880854</v>
      </c>
      <c r="U164" s="99">
        <f t="shared" si="63"/>
        <v>312987710</v>
      </c>
    </row>
    <row r="165" spans="1:115" ht="18" customHeight="1">
      <c r="A165" s="13">
        <v>2012</v>
      </c>
      <c r="B165" s="14" t="s">
        <v>6</v>
      </c>
      <c r="C165" s="97">
        <v>3632724020</v>
      </c>
      <c r="D165" s="98">
        <f t="shared" si="60"/>
        <v>131091814</v>
      </c>
      <c r="E165" s="99">
        <f t="shared" si="61"/>
        <v>321202050</v>
      </c>
      <c r="F165" s="100">
        <v>21198596</v>
      </c>
      <c r="G165" s="98">
        <v>768996</v>
      </c>
      <c r="H165" s="100">
        <v>1857956</v>
      </c>
      <c r="I165" s="101">
        <v>9483829</v>
      </c>
      <c r="J165" s="98">
        <v>8544235</v>
      </c>
      <c r="K165" s="100">
        <v>7444071</v>
      </c>
      <c r="L165" s="98">
        <v>56176489</v>
      </c>
      <c r="M165" s="98">
        <v>49443190</v>
      </c>
      <c r="N165" s="102">
        <f t="shared" si="62"/>
        <v>131091814</v>
      </c>
      <c r="O165" s="103">
        <v>410933934</v>
      </c>
      <c r="P165" s="104">
        <v>45767891</v>
      </c>
      <c r="Q165" s="98">
        <v>11952093</v>
      </c>
      <c r="R165" s="98">
        <v>8054627</v>
      </c>
      <c r="S165" s="98">
        <v>113569415</v>
      </c>
      <c r="T165" s="98">
        <v>141858024</v>
      </c>
      <c r="U165" s="99">
        <f t="shared" si="63"/>
        <v>321202050</v>
      </c>
    </row>
    <row r="166" spans="1:115" ht="18" customHeight="1">
      <c r="A166" s="13">
        <v>2012</v>
      </c>
      <c r="B166" s="14" t="s">
        <v>7</v>
      </c>
      <c r="C166" s="97">
        <v>3421683809</v>
      </c>
      <c r="D166" s="98">
        <f t="shared" si="60"/>
        <v>123800958</v>
      </c>
      <c r="E166" s="99">
        <f t="shared" si="61"/>
        <v>302070166</v>
      </c>
      <c r="F166" s="100">
        <v>20590647</v>
      </c>
      <c r="G166" s="98">
        <v>744236</v>
      </c>
      <c r="H166" s="100">
        <v>1797631</v>
      </c>
      <c r="I166" s="101">
        <v>8956835</v>
      </c>
      <c r="J166" s="98">
        <v>7921570</v>
      </c>
      <c r="K166" s="100">
        <v>7780489</v>
      </c>
      <c r="L166" s="98">
        <v>50471720</v>
      </c>
      <c r="M166" s="98">
        <v>48670344</v>
      </c>
      <c r="N166" s="102">
        <f t="shared" si="62"/>
        <v>123800958</v>
      </c>
      <c r="O166" s="103">
        <v>368961035</v>
      </c>
      <c r="P166" s="104">
        <v>40985960</v>
      </c>
      <c r="Q166" s="98">
        <v>11113027</v>
      </c>
      <c r="R166" s="98">
        <v>7586719</v>
      </c>
      <c r="S166" s="98">
        <v>106995792</v>
      </c>
      <c r="T166" s="98">
        <v>135388668</v>
      </c>
      <c r="U166" s="99">
        <f t="shared" si="63"/>
        <v>302070166</v>
      </c>
    </row>
    <row r="167" spans="1:115" ht="18" customHeight="1">
      <c r="A167" s="13">
        <v>2012</v>
      </c>
      <c r="B167" s="14" t="s">
        <v>8</v>
      </c>
      <c r="C167" s="97">
        <v>3395054264</v>
      </c>
      <c r="D167" s="98">
        <f t="shared" si="60"/>
        <v>122924110</v>
      </c>
      <c r="E167" s="99">
        <f t="shared" si="61"/>
        <v>298342568</v>
      </c>
      <c r="F167" s="100">
        <v>21301185</v>
      </c>
      <c r="G167" s="98">
        <v>769151</v>
      </c>
      <c r="H167" s="100">
        <v>1857373</v>
      </c>
      <c r="I167" s="101">
        <v>9804407</v>
      </c>
      <c r="J167" s="98">
        <v>9611121</v>
      </c>
      <c r="K167" s="100">
        <v>9500830</v>
      </c>
      <c r="L167" s="98">
        <v>45153761</v>
      </c>
      <c r="M167" s="98">
        <v>48853991</v>
      </c>
      <c r="N167" s="102">
        <f t="shared" si="62"/>
        <v>122924110</v>
      </c>
      <c r="O167" s="103">
        <v>393924371</v>
      </c>
      <c r="P167" s="104">
        <v>43482329</v>
      </c>
      <c r="Q167" s="98">
        <v>11962449</v>
      </c>
      <c r="R167" s="98">
        <v>8043730</v>
      </c>
      <c r="S167" s="98">
        <v>98670768</v>
      </c>
      <c r="T167" s="98">
        <v>136183292</v>
      </c>
      <c r="U167" s="99">
        <f t="shared" si="63"/>
        <v>298342568</v>
      </c>
    </row>
    <row r="168" spans="1:115" ht="18" customHeight="1">
      <c r="A168" s="13">
        <v>2012</v>
      </c>
      <c r="B168" s="14" t="s">
        <v>9</v>
      </c>
      <c r="C168" s="97">
        <v>3189335715</v>
      </c>
      <c r="D168" s="98">
        <f t="shared" si="60"/>
        <v>117041997</v>
      </c>
      <c r="E168" s="99">
        <f t="shared" si="61"/>
        <v>278618345</v>
      </c>
      <c r="F168" s="100">
        <v>21077242</v>
      </c>
      <c r="G168" s="98">
        <v>760372</v>
      </c>
      <c r="H168" s="100">
        <v>1830212</v>
      </c>
      <c r="I168" s="101">
        <v>10134406</v>
      </c>
      <c r="J168" s="98">
        <v>10638203</v>
      </c>
      <c r="K168" s="100">
        <v>9654024</v>
      </c>
      <c r="L168" s="98">
        <v>39502284</v>
      </c>
      <c r="M168" s="98">
        <v>47113080</v>
      </c>
      <c r="N168" s="102">
        <f t="shared" si="62"/>
        <v>117041997</v>
      </c>
      <c r="O168" s="103">
        <v>426711319</v>
      </c>
      <c r="P168" s="104">
        <v>47074741</v>
      </c>
      <c r="Q168" s="98">
        <v>11873900</v>
      </c>
      <c r="R168" s="98">
        <v>8074435</v>
      </c>
      <c r="S168" s="98">
        <v>78732852</v>
      </c>
      <c r="T168" s="98">
        <v>132862417</v>
      </c>
      <c r="U168" s="99">
        <f t="shared" si="63"/>
        <v>278618345</v>
      </c>
    </row>
    <row r="169" spans="1:115" ht="18" customHeight="1">
      <c r="A169" s="13">
        <v>2012</v>
      </c>
      <c r="B169" s="14" t="s">
        <v>10</v>
      </c>
      <c r="C169" s="97">
        <v>3078335025</v>
      </c>
      <c r="D169" s="98">
        <f t="shared" si="60"/>
        <v>114173498</v>
      </c>
      <c r="E169" s="99">
        <f t="shared" si="61"/>
        <v>271761230</v>
      </c>
      <c r="F169" s="100">
        <v>20207326</v>
      </c>
      <c r="G169" s="98">
        <v>735844</v>
      </c>
      <c r="H169" s="100">
        <v>1771173</v>
      </c>
      <c r="I169" s="101">
        <v>9042229</v>
      </c>
      <c r="J169" s="98">
        <v>10145176</v>
      </c>
      <c r="K169" s="100">
        <v>7158812</v>
      </c>
      <c r="L169" s="98">
        <v>42625261</v>
      </c>
      <c r="M169" s="98">
        <v>45202020</v>
      </c>
      <c r="N169" s="102">
        <f t="shared" si="62"/>
        <v>114173498</v>
      </c>
      <c r="O169" s="103">
        <v>401720443</v>
      </c>
      <c r="P169" s="104">
        <v>44761145</v>
      </c>
      <c r="Q169" s="98">
        <v>11603477</v>
      </c>
      <c r="R169" s="98">
        <v>6795556</v>
      </c>
      <c r="S169" s="98">
        <v>82233316</v>
      </c>
      <c r="T169" s="98">
        <v>126367736</v>
      </c>
      <c r="U169" s="99">
        <f t="shared" si="63"/>
        <v>271761230</v>
      </c>
    </row>
    <row r="170" spans="1:115" ht="18" customHeight="1">
      <c r="A170" s="13">
        <v>2012</v>
      </c>
      <c r="B170" s="14" t="s">
        <v>11</v>
      </c>
      <c r="C170" s="97">
        <v>3195454758</v>
      </c>
      <c r="D170" s="98">
        <f t="shared" si="60"/>
        <v>120300511</v>
      </c>
      <c r="E170" s="99">
        <f t="shared" si="61"/>
        <v>284337366</v>
      </c>
      <c r="F170" s="100">
        <v>20733989</v>
      </c>
      <c r="G170" s="98">
        <v>760372</v>
      </c>
      <c r="H170" s="100">
        <v>1830212</v>
      </c>
      <c r="I170" s="101">
        <v>10388808</v>
      </c>
      <c r="J170" s="98">
        <v>11904254</v>
      </c>
      <c r="K170" s="100">
        <v>7195858</v>
      </c>
      <c r="L170" s="98">
        <v>43389493</v>
      </c>
      <c r="M170" s="98">
        <v>47422098</v>
      </c>
      <c r="N170" s="102">
        <f t="shared" si="62"/>
        <v>120300511</v>
      </c>
      <c r="O170" s="103">
        <v>445321097</v>
      </c>
      <c r="P170" s="104">
        <v>49614114</v>
      </c>
      <c r="Q170" s="98">
        <v>12901761</v>
      </c>
      <c r="R170" s="98">
        <v>7279847</v>
      </c>
      <c r="S170" s="98">
        <v>82924118</v>
      </c>
      <c r="T170" s="98">
        <v>131617526</v>
      </c>
      <c r="U170" s="99">
        <f t="shared" si="63"/>
        <v>284337366</v>
      </c>
    </row>
    <row r="171" spans="1:115" ht="18" customHeight="1">
      <c r="A171" s="13">
        <v>2012</v>
      </c>
      <c r="B171" s="14" t="s">
        <v>12</v>
      </c>
      <c r="C171" s="97">
        <v>3154388743</v>
      </c>
      <c r="D171" s="98">
        <f t="shared" si="60"/>
        <v>120965834</v>
      </c>
      <c r="E171" s="99">
        <f t="shared" si="61"/>
        <v>282500621</v>
      </c>
      <c r="F171" s="100">
        <v>19993197</v>
      </c>
      <c r="G171" s="98">
        <v>735844</v>
      </c>
      <c r="H171" s="100">
        <v>1771173</v>
      </c>
      <c r="I171" s="101">
        <v>10106758</v>
      </c>
      <c r="J171" s="98">
        <v>12515922</v>
      </c>
      <c r="K171" s="100">
        <v>5811297</v>
      </c>
      <c r="L171" s="98">
        <v>44385499</v>
      </c>
      <c r="M171" s="98">
        <v>48146358</v>
      </c>
      <c r="N171" s="102">
        <f t="shared" si="62"/>
        <v>120965834</v>
      </c>
      <c r="O171" s="103">
        <v>424433403</v>
      </c>
      <c r="P171" s="104">
        <v>47337120</v>
      </c>
      <c r="Q171" s="98">
        <v>12031315</v>
      </c>
      <c r="R171" s="98">
        <v>6035806</v>
      </c>
      <c r="S171" s="98">
        <v>85491180</v>
      </c>
      <c r="T171" s="98">
        <v>131605200</v>
      </c>
      <c r="U171" s="99">
        <f t="shared" si="63"/>
        <v>282500621</v>
      </c>
    </row>
    <row r="172" spans="1:115" s="6" customFormat="1" ht="18" customHeight="1" thickBot="1">
      <c r="A172" s="15">
        <v>2012</v>
      </c>
      <c r="B172" s="7" t="s">
        <v>13</v>
      </c>
      <c r="C172" s="113">
        <v>3303044903</v>
      </c>
      <c r="D172" s="114">
        <f t="shared" si="60"/>
        <v>127271710</v>
      </c>
      <c r="E172" s="115">
        <f t="shared" si="61"/>
        <v>295971981</v>
      </c>
      <c r="F172" s="116">
        <v>20625753</v>
      </c>
      <c r="G172" s="114">
        <v>760372</v>
      </c>
      <c r="H172" s="116">
        <v>1830212</v>
      </c>
      <c r="I172" s="117">
        <v>10130143</v>
      </c>
      <c r="J172" s="114">
        <v>8305628</v>
      </c>
      <c r="K172" s="116">
        <v>4125395</v>
      </c>
      <c r="L172" s="114">
        <v>53465839</v>
      </c>
      <c r="M172" s="114">
        <v>51244705</v>
      </c>
      <c r="N172" s="118">
        <f t="shared" si="62"/>
        <v>127271710</v>
      </c>
      <c r="O172" s="119">
        <v>416510623</v>
      </c>
      <c r="P172" s="120">
        <v>46349617</v>
      </c>
      <c r="Q172" s="114">
        <v>10851767</v>
      </c>
      <c r="R172" s="114">
        <v>4010019</v>
      </c>
      <c r="S172" s="114">
        <v>98264815</v>
      </c>
      <c r="T172" s="114">
        <v>136495763</v>
      </c>
      <c r="U172" s="115">
        <f t="shared" si="63"/>
        <v>295971981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</row>
    <row r="173" spans="1:115" s="24" customFormat="1" ht="18" customHeight="1" thickTop="1" thickBot="1">
      <c r="A173" s="20">
        <v>2012</v>
      </c>
      <c r="B173" s="21" t="s">
        <v>14</v>
      </c>
      <c r="C173" s="121">
        <f t="shared" ref="C173:U173" si="64">SUM(C161:C172)</f>
        <v>40503732996</v>
      </c>
      <c r="D173" s="122">
        <f t="shared" si="64"/>
        <v>1504788862</v>
      </c>
      <c r="E173" s="123">
        <f t="shared" si="64"/>
        <v>3591570092</v>
      </c>
      <c r="F173" s="124">
        <f t="shared" si="64"/>
        <v>248205029</v>
      </c>
      <c r="G173" s="122">
        <f t="shared" si="64"/>
        <v>9038811</v>
      </c>
      <c r="H173" s="124">
        <f t="shared" si="64"/>
        <v>21806574</v>
      </c>
      <c r="I173" s="125">
        <f t="shared" si="64"/>
        <v>116430774</v>
      </c>
      <c r="J173" s="122">
        <f t="shared" si="64"/>
        <v>111582945</v>
      </c>
      <c r="K173" s="124">
        <f t="shared" si="64"/>
        <v>84277523</v>
      </c>
      <c r="L173" s="122">
        <f t="shared" si="64"/>
        <v>606656511</v>
      </c>
      <c r="M173" s="122">
        <f t="shared" si="64"/>
        <v>585841109</v>
      </c>
      <c r="N173" s="126">
        <f t="shared" si="64"/>
        <v>1504788862</v>
      </c>
      <c r="O173" s="127">
        <f t="shared" si="64"/>
        <v>4954369363</v>
      </c>
      <c r="P173" s="128">
        <f t="shared" si="64"/>
        <v>550910228</v>
      </c>
      <c r="Q173" s="122">
        <f t="shared" si="64"/>
        <v>141501769</v>
      </c>
      <c r="R173" s="122">
        <f t="shared" si="64"/>
        <v>84626896</v>
      </c>
      <c r="S173" s="122">
        <f t="shared" si="64"/>
        <v>1186640196</v>
      </c>
      <c r="T173" s="122">
        <f t="shared" si="64"/>
        <v>1627891003</v>
      </c>
      <c r="U173" s="123">
        <f t="shared" si="64"/>
        <v>3591570092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</row>
    <row r="174" spans="1:115" ht="18" customHeight="1" thickTop="1">
      <c r="A174" s="13">
        <v>2013</v>
      </c>
      <c r="B174" s="14" t="s">
        <v>2</v>
      </c>
      <c r="C174" s="97">
        <v>3321974145</v>
      </c>
      <c r="D174" s="98">
        <f t="shared" ref="D174:D185" si="65">+N174</f>
        <v>128607476</v>
      </c>
      <c r="E174" s="99">
        <f t="shared" ref="E174:E185" si="66">+U174</f>
        <v>297103307</v>
      </c>
      <c r="F174" s="100">
        <v>20663595</v>
      </c>
      <c r="G174" s="98">
        <v>760372</v>
      </c>
      <c r="H174" s="100">
        <v>1830212</v>
      </c>
      <c r="I174" s="101">
        <v>10103911</v>
      </c>
      <c r="J174" s="98">
        <v>8372810</v>
      </c>
      <c r="K174" s="100">
        <v>3702762</v>
      </c>
      <c r="L174" s="98">
        <v>56234473</v>
      </c>
      <c r="M174" s="98">
        <v>50193520</v>
      </c>
      <c r="N174" s="102">
        <f t="shared" ref="N174:N185" si="67">SUM(I174:M174)</f>
        <v>128607476</v>
      </c>
      <c r="O174" s="103">
        <v>432770233</v>
      </c>
      <c r="P174" s="104">
        <v>48170000</v>
      </c>
      <c r="Q174" s="98">
        <v>11532409</v>
      </c>
      <c r="R174" s="98">
        <v>4743198</v>
      </c>
      <c r="S174" s="98">
        <v>97371470</v>
      </c>
      <c r="T174" s="98">
        <v>135286230</v>
      </c>
      <c r="U174" s="99">
        <f t="shared" ref="U174:U185" si="68">SUM(P174:T174)</f>
        <v>297103307</v>
      </c>
    </row>
    <row r="175" spans="1:115" ht="18" customHeight="1">
      <c r="A175" s="13">
        <v>2013</v>
      </c>
      <c r="B175" s="14" t="s">
        <v>3</v>
      </c>
      <c r="C175" s="97">
        <v>3090633381</v>
      </c>
      <c r="D175" s="98">
        <f t="shared" si="65"/>
        <v>117409318</v>
      </c>
      <c r="E175" s="99">
        <f t="shared" si="66"/>
        <v>275503163</v>
      </c>
      <c r="F175" s="100">
        <v>18752804</v>
      </c>
      <c r="G175" s="98">
        <v>686787</v>
      </c>
      <c r="H175" s="100">
        <v>1653094</v>
      </c>
      <c r="I175" s="101">
        <v>8667024</v>
      </c>
      <c r="J175" s="98">
        <v>8694956</v>
      </c>
      <c r="K175" s="100">
        <v>5129240</v>
      </c>
      <c r="L175" s="98">
        <v>49506920</v>
      </c>
      <c r="M175" s="98">
        <v>45411178</v>
      </c>
      <c r="N175" s="102">
        <f t="shared" si="67"/>
        <v>117409318</v>
      </c>
      <c r="O175" s="103">
        <v>376410698</v>
      </c>
      <c r="P175" s="104">
        <v>41905530</v>
      </c>
      <c r="Q175" s="98">
        <v>10677147</v>
      </c>
      <c r="R175" s="98">
        <v>6070537</v>
      </c>
      <c r="S175" s="98">
        <v>92971475</v>
      </c>
      <c r="T175" s="98">
        <v>123878474</v>
      </c>
      <c r="U175" s="99">
        <f t="shared" si="68"/>
        <v>275503163</v>
      </c>
    </row>
    <row r="176" spans="1:115" ht="18" customHeight="1">
      <c r="A176" s="13">
        <v>2013</v>
      </c>
      <c r="B176" s="14" t="s">
        <v>4</v>
      </c>
      <c r="C176" s="97">
        <v>3522624070</v>
      </c>
      <c r="D176" s="98">
        <f t="shared" si="65"/>
        <v>131146888</v>
      </c>
      <c r="E176" s="99">
        <f t="shared" si="66"/>
        <v>312909251</v>
      </c>
      <c r="F176" s="100">
        <v>20835636</v>
      </c>
      <c r="G176" s="98">
        <v>760372</v>
      </c>
      <c r="H176" s="100">
        <v>1830212</v>
      </c>
      <c r="I176" s="101">
        <v>9285031</v>
      </c>
      <c r="J176" s="98">
        <v>9775098</v>
      </c>
      <c r="K176" s="100">
        <v>7203255</v>
      </c>
      <c r="L176" s="98">
        <v>54949007</v>
      </c>
      <c r="M176" s="98">
        <v>49934497</v>
      </c>
      <c r="N176" s="102">
        <f t="shared" si="67"/>
        <v>131146888</v>
      </c>
      <c r="O176" s="103">
        <v>402217804</v>
      </c>
      <c r="P176" s="104">
        <v>44769549</v>
      </c>
      <c r="Q176" s="98">
        <v>11701906</v>
      </c>
      <c r="R176" s="98">
        <v>7051566</v>
      </c>
      <c r="S176" s="98">
        <v>110053819</v>
      </c>
      <c r="T176" s="98">
        <v>139332411</v>
      </c>
      <c r="U176" s="99">
        <f t="shared" si="68"/>
        <v>312909251</v>
      </c>
    </row>
    <row r="177" spans="1:115" ht="18" customHeight="1">
      <c r="A177" s="13">
        <v>2013</v>
      </c>
      <c r="B177" s="14" t="s">
        <v>5</v>
      </c>
      <c r="C177" s="97">
        <v>3471759253</v>
      </c>
      <c r="D177" s="98">
        <f t="shared" si="65"/>
        <v>127589111</v>
      </c>
      <c r="E177" s="99">
        <f t="shared" si="66"/>
        <v>308235130</v>
      </c>
      <c r="F177" s="100">
        <v>20198632</v>
      </c>
      <c r="G177" s="98">
        <v>735844</v>
      </c>
      <c r="H177" s="100">
        <v>1771173</v>
      </c>
      <c r="I177" s="101">
        <v>9335676</v>
      </c>
      <c r="J177" s="98">
        <v>10085572</v>
      </c>
      <c r="K177" s="100">
        <v>8096261</v>
      </c>
      <c r="L177" s="98">
        <v>51164497</v>
      </c>
      <c r="M177" s="98">
        <v>48907105</v>
      </c>
      <c r="N177" s="102">
        <f t="shared" si="67"/>
        <v>127589111</v>
      </c>
      <c r="O177" s="103">
        <v>406375878</v>
      </c>
      <c r="P177" s="104">
        <v>45171835</v>
      </c>
      <c r="Q177" s="98">
        <v>11177956</v>
      </c>
      <c r="R177" s="98">
        <v>7857730</v>
      </c>
      <c r="S177" s="98">
        <v>105664456</v>
      </c>
      <c r="T177" s="98">
        <v>138363153</v>
      </c>
      <c r="U177" s="99">
        <f t="shared" si="68"/>
        <v>308235130</v>
      </c>
    </row>
    <row r="178" spans="1:115" ht="18" customHeight="1">
      <c r="A178" s="13">
        <v>2013</v>
      </c>
      <c r="B178" s="14" t="s">
        <v>6</v>
      </c>
      <c r="C178" s="97">
        <v>3567794880</v>
      </c>
      <c r="D178" s="98">
        <f t="shared" si="65"/>
        <v>129456525</v>
      </c>
      <c r="E178" s="99">
        <f t="shared" si="66"/>
        <v>316026573</v>
      </c>
      <c r="F178" s="100">
        <v>20896702</v>
      </c>
      <c r="G178" s="98">
        <v>760372</v>
      </c>
      <c r="H178" s="100">
        <v>1830212</v>
      </c>
      <c r="I178" s="101">
        <v>9516920</v>
      </c>
      <c r="J178" s="98">
        <v>10843152</v>
      </c>
      <c r="K178" s="100">
        <v>8096762</v>
      </c>
      <c r="L178" s="98">
        <v>50894240</v>
      </c>
      <c r="M178" s="98">
        <v>50105451</v>
      </c>
      <c r="N178" s="102">
        <f t="shared" si="67"/>
        <v>129456525</v>
      </c>
      <c r="O178" s="103">
        <v>413810198</v>
      </c>
      <c r="P178" s="104">
        <v>45994922</v>
      </c>
      <c r="Q178" s="98">
        <v>11886935</v>
      </c>
      <c r="R178" s="98">
        <v>8474279</v>
      </c>
      <c r="S178" s="98">
        <v>106710207</v>
      </c>
      <c r="T178" s="98">
        <v>142960230</v>
      </c>
      <c r="U178" s="99">
        <f t="shared" si="68"/>
        <v>316026573</v>
      </c>
    </row>
    <row r="179" spans="1:115" ht="18" customHeight="1">
      <c r="A179" s="13">
        <v>2013</v>
      </c>
      <c r="B179" s="14" t="s">
        <v>7</v>
      </c>
      <c r="C179" s="97">
        <v>3345239288</v>
      </c>
      <c r="D179" s="98">
        <f t="shared" si="65"/>
        <v>121120679</v>
      </c>
      <c r="E179" s="99">
        <f t="shared" si="66"/>
        <v>295191771</v>
      </c>
      <c r="F179" s="100">
        <v>20291493</v>
      </c>
      <c r="G179" s="98">
        <v>735844</v>
      </c>
      <c r="H179" s="100">
        <v>1771173</v>
      </c>
      <c r="I179" s="101">
        <v>8787058</v>
      </c>
      <c r="J179" s="98">
        <v>7727753</v>
      </c>
      <c r="K179" s="100">
        <v>7761513</v>
      </c>
      <c r="L179" s="98">
        <v>48417658</v>
      </c>
      <c r="M179" s="98">
        <v>48426697</v>
      </c>
      <c r="N179" s="102">
        <f t="shared" si="67"/>
        <v>121120679</v>
      </c>
      <c r="O179" s="103">
        <v>356300845</v>
      </c>
      <c r="P179" s="104">
        <v>39564643</v>
      </c>
      <c r="Q179" s="98">
        <v>11413390</v>
      </c>
      <c r="R179" s="98">
        <v>7843050</v>
      </c>
      <c r="S179" s="98">
        <v>100417008</v>
      </c>
      <c r="T179" s="98">
        <v>135953680</v>
      </c>
      <c r="U179" s="99">
        <f t="shared" si="68"/>
        <v>295191771</v>
      </c>
    </row>
    <row r="180" spans="1:115" ht="18" customHeight="1">
      <c r="A180" s="13">
        <v>2013</v>
      </c>
      <c r="B180" s="14" t="s">
        <v>8</v>
      </c>
      <c r="C180" s="97">
        <v>3232790652</v>
      </c>
      <c r="D180" s="98">
        <f t="shared" si="65"/>
        <v>116624417</v>
      </c>
      <c r="E180" s="99">
        <f t="shared" si="66"/>
        <v>283871139</v>
      </c>
      <c r="F180" s="100">
        <v>21030211</v>
      </c>
      <c r="G180" s="98">
        <v>760372</v>
      </c>
      <c r="H180" s="100">
        <v>1830212</v>
      </c>
      <c r="I180" s="101">
        <v>9798386</v>
      </c>
      <c r="J180" s="98">
        <v>7945054</v>
      </c>
      <c r="K180" s="100">
        <v>7834025</v>
      </c>
      <c r="L180" s="98">
        <v>43456424</v>
      </c>
      <c r="M180" s="98">
        <v>47590528</v>
      </c>
      <c r="N180" s="102">
        <f t="shared" si="67"/>
        <v>116624417</v>
      </c>
      <c r="O180" s="103">
        <v>389703256</v>
      </c>
      <c r="P180" s="104">
        <v>43121030</v>
      </c>
      <c r="Q180" s="98">
        <v>11409173</v>
      </c>
      <c r="R180" s="98">
        <v>7971725</v>
      </c>
      <c r="S180" s="98">
        <v>87246237</v>
      </c>
      <c r="T180" s="98">
        <v>134122974</v>
      </c>
      <c r="U180" s="99">
        <f t="shared" si="68"/>
        <v>283871139</v>
      </c>
    </row>
    <row r="181" spans="1:115" ht="18" customHeight="1">
      <c r="A181" s="13">
        <v>2013</v>
      </c>
      <c r="B181" s="14" t="s">
        <v>9</v>
      </c>
      <c r="C181" s="97">
        <v>3273269387</v>
      </c>
      <c r="D181" s="98">
        <f t="shared" si="65"/>
        <v>118939253</v>
      </c>
      <c r="E181" s="99">
        <f t="shared" si="66"/>
        <v>289536751</v>
      </c>
      <c r="F181" s="100">
        <v>20903599</v>
      </c>
      <c r="G181" s="98">
        <v>760372</v>
      </c>
      <c r="H181" s="100">
        <v>1830212</v>
      </c>
      <c r="I181" s="101">
        <v>9762576</v>
      </c>
      <c r="J181" s="98">
        <v>8428309</v>
      </c>
      <c r="K181" s="100">
        <v>7241216</v>
      </c>
      <c r="L181" s="98">
        <v>45440342</v>
      </c>
      <c r="M181" s="98">
        <v>48066810</v>
      </c>
      <c r="N181" s="102">
        <f t="shared" si="67"/>
        <v>118939253</v>
      </c>
      <c r="O181" s="103">
        <v>409380612</v>
      </c>
      <c r="P181" s="104">
        <v>45321254</v>
      </c>
      <c r="Q181" s="98">
        <v>13748648</v>
      </c>
      <c r="R181" s="98">
        <v>7287158</v>
      </c>
      <c r="S181" s="98">
        <v>88730164</v>
      </c>
      <c r="T181" s="98">
        <v>134449527</v>
      </c>
      <c r="U181" s="99">
        <f t="shared" si="68"/>
        <v>289536751</v>
      </c>
    </row>
    <row r="182" spans="1:115" ht="18" customHeight="1">
      <c r="A182" s="13">
        <v>2013</v>
      </c>
      <c r="B182" s="14" t="s">
        <v>10</v>
      </c>
      <c r="C182" s="97">
        <v>3078337153</v>
      </c>
      <c r="D182" s="98">
        <f t="shared" si="65"/>
        <v>113702204</v>
      </c>
      <c r="E182" s="99">
        <f t="shared" si="66"/>
        <v>273409393</v>
      </c>
      <c r="F182" s="100">
        <v>20177543</v>
      </c>
      <c r="G182" s="98">
        <v>733656</v>
      </c>
      <c r="H182" s="100">
        <v>1771124</v>
      </c>
      <c r="I182" s="101">
        <v>9532800</v>
      </c>
      <c r="J182" s="98">
        <v>8164808</v>
      </c>
      <c r="K182" s="100">
        <v>6495102</v>
      </c>
      <c r="L182" s="98">
        <v>42541462</v>
      </c>
      <c r="M182" s="98">
        <v>46968032</v>
      </c>
      <c r="N182" s="102">
        <f t="shared" si="67"/>
        <v>113702204</v>
      </c>
      <c r="O182" s="103">
        <v>410321530</v>
      </c>
      <c r="P182" s="104">
        <v>45691861</v>
      </c>
      <c r="Q182" s="98">
        <v>11607820</v>
      </c>
      <c r="R182" s="98">
        <v>6645255</v>
      </c>
      <c r="S182" s="98">
        <v>79927600</v>
      </c>
      <c r="T182" s="98">
        <v>129536857</v>
      </c>
      <c r="U182" s="99">
        <f t="shared" si="68"/>
        <v>273409393</v>
      </c>
    </row>
    <row r="183" spans="1:115" ht="18" customHeight="1">
      <c r="A183" s="13">
        <v>2013</v>
      </c>
      <c r="B183" s="14" t="s">
        <v>11</v>
      </c>
      <c r="C183" s="97">
        <v>3212104898</v>
      </c>
      <c r="D183" s="98">
        <f t="shared" si="65"/>
        <v>122269124</v>
      </c>
      <c r="E183" s="99">
        <f t="shared" si="66"/>
        <v>288731547</v>
      </c>
      <c r="F183" s="100">
        <v>20595674</v>
      </c>
      <c r="G183" s="98">
        <v>760372</v>
      </c>
      <c r="H183" s="100">
        <v>1830212</v>
      </c>
      <c r="I183" s="101">
        <v>10220848</v>
      </c>
      <c r="J183" s="98">
        <v>11421637</v>
      </c>
      <c r="K183" s="100">
        <v>6416030</v>
      </c>
      <c r="L183" s="98">
        <v>44438746</v>
      </c>
      <c r="M183" s="98">
        <v>49771863</v>
      </c>
      <c r="N183" s="102">
        <f t="shared" si="67"/>
        <v>122269124</v>
      </c>
      <c r="O183" s="103">
        <v>438112507</v>
      </c>
      <c r="P183" s="104">
        <v>48983130</v>
      </c>
      <c r="Q183" s="98">
        <v>11965114</v>
      </c>
      <c r="R183" s="98">
        <v>6647889</v>
      </c>
      <c r="S183" s="98">
        <v>86307020</v>
      </c>
      <c r="T183" s="98">
        <v>134828394</v>
      </c>
      <c r="U183" s="99">
        <f t="shared" si="68"/>
        <v>288731547</v>
      </c>
    </row>
    <row r="184" spans="1:115" ht="18" customHeight="1">
      <c r="A184" s="13">
        <v>2013</v>
      </c>
      <c r="B184" s="14" t="s">
        <v>12</v>
      </c>
      <c r="C184" s="97">
        <v>3160081007</v>
      </c>
      <c r="D184" s="98">
        <f t="shared" si="65"/>
        <v>120698015</v>
      </c>
      <c r="E184" s="99">
        <f t="shared" si="66"/>
        <v>285192856</v>
      </c>
      <c r="F184" s="100">
        <v>18550064</v>
      </c>
      <c r="G184" s="98">
        <v>693840</v>
      </c>
      <c r="H184" s="100">
        <v>1654347</v>
      </c>
      <c r="I184" s="101">
        <v>9654190</v>
      </c>
      <c r="J184" s="98">
        <v>11835684</v>
      </c>
      <c r="K184" s="100">
        <v>5018873</v>
      </c>
      <c r="L184" s="98">
        <v>44786078</v>
      </c>
      <c r="M184" s="98">
        <v>49403190</v>
      </c>
      <c r="N184" s="102">
        <f t="shared" si="67"/>
        <v>120698015</v>
      </c>
      <c r="O184" s="103">
        <v>401652848</v>
      </c>
      <c r="P184" s="104">
        <v>45014342</v>
      </c>
      <c r="Q184" s="98">
        <v>11385805</v>
      </c>
      <c r="R184" s="98">
        <v>8711550</v>
      </c>
      <c r="S184" s="98">
        <v>87338937</v>
      </c>
      <c r="T184" s="98">
        <v>132742222</v>
      </c>
      <c r="U184" s="99">
        <f t="shared" si="68"/>
        <v>285192856</v>
      </c>
    </row>
    <row r="185" spans="1:115" s="6" customFormat="1" ht="18" customHeight="1" thickBot="1">
      <c r="A185" s="13">
        <v>2013</v>
      </c>
      <c r="B185" s="14" t="s">
        <v>13</v>
      </c>
      <c r="C185" s="97">
        <v>3347317449</v>
      </c>
      <c r="D185" s="98">
        <f t="shared" si="65"/>
        <v>128895464</v>
      </c>
      <c r="E185" s="99">
        <f t="shared" si="66"/>
        <v>302083353</v>
      </c>
      <c r="F185" s="100">
        <v>20452757</v>
      </c>
      <c r="G185" s="98">
        <v>760372</v>
      </c>
      <c r="H185" s="100">
        <v>1830212</v>
      </c>
      <c r="I185" s="101">
        <v>10317480</v>
      </c>
      <c r="J185" s="98">
        <v>11405836</v>
      </c>
      <c r="K185" s="100">
        <v>3849477</v>
      </c>
      <c r="L185" s="98">
        <v>50065834</v>
      </c>
      <c r="M185" s="98">
        <v>53256837</v>
      </c>
      <c r="N185" s="102">
        <f t="shared" si="67"/>
        <v>128895464</v>
      </c>
      <c r="O185" s="103">
        <v>421030241</v>
      </c>
      <c r="P185" s="104">
        <v>47011710</v>
      </c>
      <c r="Q185" s="98">
        <v>11397006</v>
      </c>
      <c r="R185" s="98">
        <v>3836980</v>
      </c>
      <c r="S185" s="98">
        <v>98444400</v>
      </c>
      <c r="T185" s="98">
        <v>141393257</v>
      </c>
      <c r="U185" s="99">
        <f t="shared" si="68"/>
        <v>302083353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</row>
    <row r="186" spans="1:115" s="24" customFormat="1" ht="18" customHeight="1" thickTop="1" thickBot="1">
      <c r="A186" s="22">
        <v>2013</v>
      </c>
      <c r="B186" s="23" t="s">
        <v>14</v>
      </c>
      <c r="C186" s="105">
        <f t="shared" ref="C186:U186" si="69">SUM(C174:C185)</f>
        <v>39623925563</v>
      </c>
      <c r="D186" s="106">
        <f t="shared" si="69"/>
        <v>1476458474</v>
      </c>
      <c r="E186" s="107">
        <f t="shared" si="69"/>
        <v>3527794234</v>
      </c>
      <c r="F186" s="108">
        <f t="shared" si="69"/>
        <v>243348710</v>
      </c>
      <c r="G186" s="106">
        <f t="shared" si="69"/>
        <v>8908575</v>
      </c>
      <c r="H186" s="108">
        <f t="shared" si="69"/>
        <v>21432395</v>
      </c>
      <c r="I186" s="109">
        <f t="shared" si="69"/>
        <v>114981900</v>
      </c>
      <c r="J186" s="106">
        <f t="shared" si="69"/>
        <v>114700669</v>
      </c>
      <c r="K186" s="108">
        <f t="shared" si="69"/>
        <v>76844516</v>
      </c>
      <c r="L186" s="106">
        <f t="shared" si="69"/>
        <v>581895681</v>
      </c>
      <c r="M186" s="106">
        <f t="shared" si="69"/>
        <v>588035708</v>
      </c>
      <c r="N186" s="110">
        <f t="shared" si="69"/>
        <v>1476458474</v>
      </c>
      <c r="O186" s="111">
        <f t="shared" si="69"/>
        <v>4858086650</v>
      </c>
      <c r="P186" s="112">
        <f t="shared" si="69"/>
        <v>540719806</v>
      </c>
      <c r="Q186" s="106">
        <f t="shared" si="69"/>
        <v>139903309</v>
      </c>
      <c r="R186" s="106">
        <f t="shared" si="69"/>
        <v>83140917</v>
      </c>
      <c r="S186" s="106">
        <f t="shared" si="69"/>
        <v>1141182793</v>
      </c>
      <c r="T186" s="106">
        <f t="shared" si="69"/>
        <v>1622847409</v>
      </c>
      <c r="U186" s="107">
        <f t="shared" si="69"/>
        <v>3527794234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</row>
    <row r="187" spans="1:115" ht="18" customHeight="1" thickTop="1">
      <c r="A187" s="13">
        <v>2014</v>
      </c>
      <c r="B187" s="14" t="s">
        <v>2</v>
      </c>
      <c r="C187" s="97">
        <v>3535682079</v>
      </c>
      <c r="D187" s="98">
        <f t="shared" ref="D187:D198" si="70">+N187</f>
        <v>134356902</v>
      </c>
      <c r="E187" s="99">
        <f t="shared" ref="E187:E198" si="71">+U187</f>
        <v>317199487</v>
      </c>
      <c r="F187" s="100">
        <v>20579773</v>
      </c>
      <c r="G187" s="98">
        <v>759357</v>
      </c>
      <c r="H187" s="100">
        <v>1830212</v>
      </c>
      <c r="I187" s="101">
        <v>9902718</v>
      </c>
      <c r="J187" s="98">
        <v>9385872</v>
      </c>
      <c r="K187" s="100">
        <v>6725644</v>
      </c>
      <c r="L187" s="98">
        <v>52484810</v>
      </c>
      <c r="M187" s="98">
        <v>55857858</v>
      </c>
      <c r="N187" s="102">
        <f t="shared" ref="N187:N198" si="72">SUM(I187:M187)</f>
        <v>134356902</v>
      </c>
      <c r="O187" s="103">
        <v>416024965</v>
      </c>
      <c r="P187" s="104">
        <v>46327618</v>
      </c>
      <c r="Q187" s="98">
        <v>11375326</v>
      </c>
      <c r="R187" s="98">
        <v>6913815</v>
      </c>
      <c r="S187" s="98">
        <v>104917070</v>
      </c>
      <c r="T187" s="98">
        <v>147665658</v>
      </c>
      <c r="U187" s="99">
        <f t="shared" ref="U187:U198" si="73">SUM(P187:T187)</f>
        <v>317199487</v>
      </c>
    </row>
    <row r="188" spans="1:115" ht="18" customHeight="1">
      <c r="A188" s="13">
        <v>2014</v>
      </c>
      <c r="B188" s="14" t="s">
        <v>3</v>
      </c>
      <c r="C188" s="97">
        <v>3305002929</v>
      </c>
      <c r="D188" s="98">
        <f t="shared" si="70"/>
        <v>123367279</v>
      </c>
      <c r="E188" s="99">
        <f t="shared" si="71"/>
        <v>295312760</v>
      </c>
      <c r="F188" s="100">
        <v>18615292</v>
      </c>
      <c r="G188" s="98">
        <v>686787</v>
      </c>
      <c r="H188" s="100">
        <v>1653094</v>
      </c>
      <c r="I188" s="101">
        <v>8986053</v>
      </c>
      <c r="J188" s="98">
        <v>9042609</v>
      </c>
      <c r="K188" s="100">
        <v>6527366</v>
      </c>
      <c r="L188" s="98">
        <v>50591408</v>
      </c>
      <c r="M188" s="98">
        <v>48219843</v>
      </c>
      <c r="N188" s="102">
        <f t="shared" si="72"/>
        <v>123367279</v>
      </c>
      <c r="O188" s="103">
        <v>378969579</v>
      </c>
      <c r="P188" s="104">
        <v>42257475</v>
      </c>
      <c r="Q188" s="98">
        <v>11176841</v>
      </c>
      <c r="R188" s="98">
        <v>7014371</v>
      </c>
      <c r="S188" s="98">
        <v>98518901</v>
      </c>
      <c r="T188" s="98">
        <v>136345172</v>
      </c>
      <c r="U188" s="99">
        <f t="shared" si="73"/>
        <v>295312760</v>
      </c>
    </row>
    <row r="189" spans="1:115" ht="18" customHeight="1">
      <c r="A189" s="13">
        <v>2014</v>
      </c>
      <c r="B189" s="14" t="s">
        <v>4</v>
      </c>
      <c r="C189" s="97">
        <v>3706096117</v>
      </c>
      <c r="D189" s="98">
        <f t="shared" si="70"/>
        <v>137064040</v>
      </c>
      <c r="E189" s="99">
        <f t="shared" si="71"/>
        <v>330718554</v>
      </c>
      <c r="F189" s="100">
        <v>20627660</v>
      </c>
      <c r="G189" s="98">
        <v>760372</v>
      </c>
      <c r="H189" s="100">
        <v>1830212</v>
      </c>
      <c r="I189" s="101">
        <v>9860425</v>
      </c>
      <c r="J189" s="98">
        <v>10782136</v>
      </c>
      <c r="K189" s="100">
        <v>8438556</v>
      </c>
      <c r="L189" s="98">
        <v>52657050</v>
      </c>
      <c r="M189" s="98">
        <v>55325873</v>
      </c>
      <c r="N189" s="102">
        <f t="shared" si="72"/>
        <v>137064040</v>
      </c>
      <c r="O189" s="103">
        <v>407084308</v>
      </c>
      <c r="P189" s="104">
        <v>45253028</v>
      </c>
      <c r="Q189" s="98">
        <v>13190212</v>
      </c>
      <c r="R189" s="98">
        <v>7909111</v>
      </c>
      <c r="S189" s="98">
        <v>112566012</v>
      </c>
      <c r="T189" s="98">
        <v>151800191</v>
      </c>
      <c r="U189" s="99">
        <f t="shared" si="73"/>
        <v>330718554</v>
      </c>
    </row>
    <row r="190" spans="1:115" ht="18" customHeight="1">
      <c r="A190" s="13">
        <v>2014</v>
      </c>
      <c r="B190" s="14" t="s">
        <v>5</v>
      </c>
      <c r="C190" s="97">
        <v>3577429783</v>
      </c>
      <c r="D190" s="98">
        <f t="shared" si="70"/>
        <v>130829410</v>
      </c>
      <c r="E190" s="99">
        <f t="shared" si="71"/>
        <v>318726810</v>
      </c>
      <c r="F190" s="100">
        <v>20028865</v>
      </c>
      <c r="G190" s="98">
        <v>735844</v>
      </c>
      <c r="H190" s="100">
        <v>1771173</v>
      </c>
      <c r="I190" s="101">
        <v>9902220</v>
      </c>
      <c r="J190" s="98">
        <v>10123882</v>
      </c>
      <c r="K190" s="100">
        <v>7849366</v>
      </c>
      <c r="L190" s="98">
        <v>49574239</v>
      </c>
      <c r="M190" s="98">
        <v>53379703</v>
      </c>
      <c r="N190" s="102">
        <f t="shared" si="72"/>
        <v>130829410</v>
      </c>
      <c r="O190" s="103">
        <v>401898606</v>
      </c>
      <c r="P190" s="104">
        <v>44611676</v>
      </c>
      <c r="Q190" s="98">
        <v>11782884</v>
      </c>
      <c r="R190" s="98">
        <v>7832349</v>
      </c>
      <c r="S190" s="98">
        <v>107996503</v>
      </c>
      <c r="T190" s="98">
        <v>146503398</v>
      </c>
      <c r="U190" s="99">
        <f t="shared" si="73"/>
        <v>318726810</v>
      </c>
    </row>
    <row r="191" spans="1:115" ht="18" customHeight="1">
      <c r="A191" s="13">
        <v>2014</v>
      </c>
      <c r="B191" s="14" t="s">
        <v>6</v>
      </c>
      <c r="C191" s="97">
        <v>3633943274</v>
      </c>
      <c r="D191" s="98">
        <f t="shared" si="70"/>
        <v>131555993</v>
      </c>
      <c r="E191" s="99">
        <f t="shared" si="71"/>
        <v>323112437</v>
      </c>
      <c r="F191" s="100">
        <v>20764254</v>
      </c>
      <c r="G191" s="98">
        <v>760372</v>
      </c>
      <c r="H191" s="100">
        <v>1830212</v>
      </c>
      <c r="I191" s="101">
        <v>9968323</v>
      </c>
      <c r="J191" s="98">
        <v>10183120</v>
      </c>
      <c r="K191" s="100">
        <v>8495541</v>
      </c>
      <c r="L191" s="98">
        <v>48595881</v>
      </c>
      <c r="M191" s="98">
        <v>54313128</v>
      </c>
      <c r="N191" s="102">
        <f t="shared" si="72"/>
        <v>131555993</v>
      </c>
      <c r="O191" s="103">
        <v>404628267</v>
      </c>
      <c r="P191" s="104">
        <v>44968771</v>
      </c>
      <c r="Q191" s="98">
        <v>11229167</v>
      </c>
      <c r="R191" s="98">
        <v>7492448</v>
      </c>
      <c r="S191" s="98">
        <v>111416956</v>
      </c>
      <c r="T191" s="98">
        <v>148005095</v>
      </c>
      <c r="U191" s="99">
        <f t="shared" si="73"/>
        <v>323112437</v>
      </c>
    </row>
    <row r="192" spans="1:115" ht="18" customHeight="1">
      <c r="A192" s="13">
        <v>2014</v>
      </c>
      <c r="B192" s="14" t="s">
        <v>7</v>
      </c>
      <c r="C192" s="97">
        <v>3435240467</v>
      </c>
      <c r="D192" s="98">
        <f t="shared" si="70"/>
        <v>123199865</v>
      </c>
      <c r="E192" s="99">
        <f t="shared" si="71"/>
        <v>305001841</v>
      </c>
      <c r="F192" s="100">
        <v>20155495</v>
      </c>
      <c r="G192" s="98">
        <v>732729</v>
      </c>
      <c r="H192" s="100">
        <v>1771173</v>
      </c>
      <c r="I192" s="101">
        <v>9858986</v>
      </c>
      <c r="J192" s="98">
        <v>10475205</v>
      </c>
      <c r="K192" s="100">
        <v>9260771</v>
      </c>
      <c r="L192" s="98">
        <v>41972334</v>
      </c>
      <c r="M192" s="98">
        <v>51632569</v>
      </c>
      <c r="N192" s="102">
        <f t="shared" si="72"/>
        <v>123199865</v>
      </c>
      <c r="O192" s="103">
        <v>384392694</v>
      </c>
      <c r="P192" s="104">
        <v>42442827</v>
      </c>
      <c r="Q192" s="98">
        <v>12276538</v>
      </c>
      <c r="R192" s="98">
        <v>8462896</v>
      </c>
      <c r="S192" s="98">
        <v>100238262</v>
      </c>
      <c r="T192" s="98">
        <v>141581318</v>
      </c>
      <c r="U192" s="99">
        <f t="shared" si="73"/>
        <v>305001841</v>
      </c>
    </row>
    <row r="193" spans="1:115" ht="18" customHeight="1">
      <c r="A193" s="13">
        <v>2014</v>
      </c>
      <c r="B193" s="14" t="s">
        <v>8</v>
      </c>
      <c r="C193" s="97">
        <v>3422354511</v>
      </c>
      <c r="D193" s="98">
        <f t="shared" si="70"/>
        <v>122808358</v>
      </c>
      <c r="E193" s="99">
        <f t="shared" si="71"/>
        <v>302553006</v>
      </c>
      <c r="F193" s="100">
        <v>20870462</v>
      </c>
      <c r="G193" s="98">
        <v>746815</v>
      </c>
      <c r="H193" s="100">
        <v>1829628</v>
      </c>
      <c r="I193" s="101">
        <v>10499213</v>
      </c>
      <c r="J193" s="98">
        <v>10781228</v>
      </c>
      <c r="K193" s="100">
        <v>11110857</v>
      </c>
      <c r="L193" s="98">
        <v>37885831</v>
      </c>
      <c r="M193" s="98">
        <v>52531229</v>
      </c>
      <c r="N193" s="102">
        <f t="shared" si="72"/>
        <v>122808358</v>
      </c>
      <c r="O193" s="103">
        <v>396997588</v>
      </c>
      <c r="P193" s="104">
        <v>43825130</v>
      </c>
      <c r="Q193" s="98">
        <v>11052764</v>
      </c>
      <c r="R193" s="98">
        <v>8275032</v>
      </c>
      <c r="S193" s="98">
        <v>95054159</v>
      </c>
      <c r="T193" s="98">
        <v>144345921</v>
      </c>
      <c r="U193" s="99">
        <f t="shared" si="73"/>
        <v>302553006</v>
      </c>
    </row>
    <row r="194" spans="1:115" ht="18" customHeight="1">
      <c r="A194" s="13">
        <v>2014</v>
      </c>
      <c r="B194" s="14" t="s">
        <v>9</v>
      </c>
      <c r="C194" s="97">
        <v>3339084988</v>
      </c>
      <c r="D194" s="98">
        <f t="shared" si="70"/>
        <v>120468016</v>
      </c>
      <c r="E194" s="99">
        <f t="shared" si="71"/>
        <v>295981701</v>
      </c>
      <c r="F194" s="100">
        <v>20840932</v>
      </c>
      <c r="G194" s="98">
        <v>745642</v>
      </c>
      <c r="H194" s="100">
        <v>1830212</v>
      </c>
      <c r="I194" s="101">
        <v>10261834</v>
      </c>
      <c r="J194" s="98">
        <v>10395571</v>
      </c>
      <c r="K194" s="100">
        <v>8361542</v>
      </c>
      <c r="L194" s="98">
        <v>40127245</v>
      </c>
      <c r="M194" s="98">
        <v>51321824</v>
      </c>
      <c r="N194" s="102">
        <f t="shared" si="72"/>
        <v>120468016</v>
      </c>
      <c r="O194" s="103">
        <v>409664287</v>
      </c>
      <c r="P194" s="104">
        <v>45038892</v>
      </c>
      <c r="Q194" s="98">
        <v>11580462</v>
      </c>
      <c r="R194" s="98">
        <v>7062957</v>
      </c>
      <c r="S194" s="98">
        <v>89739406</v>
      </c>
      <c r="T194" s="98">
        <v>142559984</v>
      </c>
      <c r="U194" s="99">
        <f t="shared" si="73"/>
        <v>295981701</v>
      </c>
    </row>
    <row r="195" spans="1:115" ht="18" customHeight="1">
      <c r="A195" s="13">
        <v>2014</v>
      </c>
      <c r="B195" s="14" t="s">
        <v>10</v>
      </c>
      <c r="C195" s="97">
        <v>3178833881</v>
      </c>
      <c r="D195" s="98">
        <f t="shared" si="70"/>
        <v>116385628</v>
      </c>
      <c r="E195" s="99">
        <f t="shared" si="71"/>
        <v>282076391</v>
      </c>
      <c r="F195" s="100">
        <v>20018088</v>
      </c>
      <c r="G195" s="98">
        <v>719827</v>
      </c>
      <c r="H195" s="100">
        <v>1759768</v>
      </c>
      <c r="I195" s="101">
        <v>9978101</v>
      </c>
      <c r="J195" s="98">
        <v>10598227</v>
      </c>
      <c r="K195" s="100">
        <v>8386969</v>
      </c>
      <c r="L195" s="98">
        <v>35740931</v>
      </c>
      <c r="M195" s="98">
        <v>51681400</v>
      </c>
      <c r="N195" s="102">
        <f t="shared" si="72"/>
        <v>116385628</v>
      </c>
      <c r="O195" s="103">
        <v>408336011</v>
      </c>
      <c r="P195" s="104">
        <v>45207144</v>
      </c>
      <c r="Q195" s="98">
        <v>11942516</v>
      </c>
      <c r="R195" s="98">
        <v>6677182</v>
      </c>
      <c r="S195" s="98">
        <v>78737599</v>
      </c>
      <c r="T195" s="98">
        <v>139511950</v>
      </c>
      <c r="U195" s="99">
        <f t="shared" si="73"/>
        <v>282076391</v>
      </c>
    </row>
    <row r="196" spans="1:115" ht="18" customHeight="1">
      <c r="A196" s="13">
        <v>2014</v>
      </c>
      <c r="B196" s="14" t="s">
        <v>11</v>
      </c>
      <c r="C196" s="97">
        <v>3322831966</v>
      </c>
      <c r="D196" s="98">
        <f t="shared" si="70"/>
        <v>124101435</v>
      </c>
      <c r="E196" s="99">
        <f t="shared" si="71"/>
        <v>297763620</v>
      </c>
      <c r="F196" s="100">
        <v>20631787</v>
      </c>
      <c r="G196" s="98">
        <v>724811</v>
      </c>
      <c r="H196" s="100">
        <v>1830212</v>
      </c>
      <c r="I196" s="101">
        <v>10544596</v>
      </c>
      <c r="J196" s="98">
        <v>9205642</v>
      </c>
      <c r="K196" s="100">
        <v>6724031</v>
      </c>
      <c r="L196" s="98">
        <v>43811584</v>
      </c>
      <c r="M196" s="98">
        <v>53815582</v>
      </c>
      <c r="N196" s="102">
        <f t="shared" si="72"/>
        <v>124101435</v>
      </c>
      <c r="O196" s="103">
        <v>435688817</v>
      </c>
      <c r="P196" s="104">
        <v>48571383</v>
      </c>
      <c r="Q196" s="98">
        <v>11856380</v>
      </c>
      <c r="R196" s="98">
        <v>6564087</v>
      </c>
      <c r="S196" s="98">
        <v>84462383</v>
      </c>
      <c r="T196" s="98">
        <v>146309387</v>
      </c>
      <c r="U196" s="99">
        <f t="shared" si="73"/>
        <v>297763620</v>
      </c>
    </row>
    <row r="197" spans="1:115" ht="18" customHeight="1">
      <c r="A197" s="13">
        <v>2014</v>
      </c>
      <c r="B197" s="14" t="s">
        <v>12</v>
      </c>
      <c r="C197" s="97">
        <v>3246258753</v>
      </c>
      <c r="D197" s="98">
        <f t="shared" si="70"/>
        <v>123206471</v>
      </c>
      <c r="E197" s="99">
        <f t="shared" si="71"/>
        <v>292455467</v>
      </c>
      <c r="F197" s="100">
        <v>19957164</v>
      </c>
      <c r="G197" s="98">
        <v>735844</v>
      </c>
      <c r="H197" s="100">
        <v>1771173</v>
      </c>
      <c r="I197" s="101">
        <v>9848106</v>
      </c>
      <c r="J197" s="98">
        <v>10196149</v>
      </c>
      <c r="K197" s="100">
        <v>5223241</v>
      </c>
      <c r="L197" s="98">
        <v>43954222</v>
      </c>
      <c r="M197" s="98">
        <v>53984753</v>
      </c>
      <c r="N197" s="102">
        <f t="shared" si="72"/>
        <v>123206471</v>
      </c>
      <c r="O197" s="103">
        <v>401511342</v>
      </c>
      <c r="P197" s="104">
        <v>44940081</v>
      </c>
      <c r="Q197" s="98">
        <v>11149211</v>
      </c>
      <c r="R197" s="98">
        <v>5718742</v>
      </c>
      <c r="S197" s="98">
        <v>88943968</v>
      </c>
      <c r="T197" s="98">
        <v>141703465</v>
      </c>
      <c r="U197" s="99">
        <f t="shared" si="73"/>
        <v>292455467</v>
      </c>
    </row>
    <row r="198" spans="1:115" s="6" customFormat="1" ht="18" customHeight="1" thickBot="1">
      <c r="A198" s="15">
        <v>2014</v>
      </c>
      <c r="B198" s="7" t="s">
        <v>13</v>
      </c>
      <c r="C198" s="113">
        <v>3361867921</v>
      </c>
      <c r="D198" s="114">
        <f t="shared" si="70"/>
        <v>128159927</v>
      </c>
      <c r="E198" s="115">
        <f t="shared" si="71"/>
        <v>302372025</v>
      </c>
      <c r="F198" s="116">
        <v>20643279</v>
      </c>
      <c r="G198" s="114">
        <v>760372</v>
      </c>
      <c r="H198" s="116">
        <v>1830212</v>
      </c>
      <c r="I198" s="117">
        <v>10654452</v>
      </c>
      <c r="J198" s="114">
        <v>9809899</v>
      </c>
      <c r="K198" s="116">
        <v>4756247</v>
      </c>
      <c r="L198" s="114">
        <v>47491054</v>
      </c>
      <c r="M198" s="114">
        <v>55448275</v>
      </c>
      <c r="N198" s="118">
        <f t="shared" si="72"/>
        <v>128159927</v>
      </c>
      <c r="O198" s="119">
        <v>421871745</v>
      </c>
      <c r="P198" s="120">
        <v>47036884</v>
      </c>
      <c r="Q198" s="114">
        <v>11797277</v>
      </c>
      <c r="R198" s="114">
        <v>4301806</v>
      </c>
      <c r="S198" s="114">
        <v>91917620</v>
      </c>
      <c r="T198" s="114">
        <v>147318438</v>
      </c>
      <c r="U198" s="115">
        <f t="shared" si="73"/>
        <v>302372025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</row>
    <row r="199" spans="1:115" s="24" customFormat="1" ht="18" customHeight="1" thickTop="1" thickBot="1">
      <c r="A199" s="20">
        <v>2014</v>
      </c>
      <c r="B199" s="21" t="s">
        <v>14</v>
      </c>
      <c r="C199" s="121">
        <f t="shared" ref="C199:U199" si="74">SUM(C187:C198)</f>
        <v>41064626669</v>
      </c>
      <c r="D199" s="122">
        <f t="shared" si="74"/>
        <v>1515503324</v>
      </c>
      <c r="E199" s="123">
        <f t="shared" si="74"/>
        <v>3663274099</v>
      </c>
      <c r="F199" s="124">
        <f t="shared" si="74"/>
        <v>243733051</v>
      </c>
      <c r="G199" s="122">
        <f t="shared" si="74"/>
        <v>8868772</v>
      </c>
      <c r="H199" s="124">
        <f t="shared" si="74"/>
        <v>21537281</v>
      </c>
      <c r="I199" s="125">
        <f t="shared" si="74"/>
        <v>120265027</v>
      </c>
      <c r="J199" s="122">
        <f t="shared" si="74"/>
        <v>120979540</v>
      </c>
      <c r="K199" s="124">
        <f t="shared" si="74"/>
        <v>91860131</v>
      </c>
      <c r="L199" s="122">
        <f t="shared" si="74"/>
        <v>544886589</v>
      </c>
      <c r="M199" s="122">
        <f t="shared" si="74"/>
        <v>637512037</v>
      </c>
      <c r="N199" s="126">
        <f t="shared" si="74"/>
        <v>1515503324</v>
      </c>
      <c r="O199" s="127">
        <f t="shared" si="74"/>
        <v>4867068209</v>
      </c>
      <c r="P199" s="128">
        <f t="shared" si="74"/>
        <v>540480909</v>
      </c>
      <c r="Q199" s="122">
        <f t="shared" si="74"/>
        <v>140409578</v>
      </c>
      <c r="R199" s="122">
        <f t="shared" si="74"/>
        <v>84224796</v>
      </c>
      <c r="S199" s="122">
        <f t="shared" si="74"/>
        <v>1164508839</v>
      </c>
      <c r="T199" s="122">
        <f t="shared" si="74"/>
        <v>1733649977</v>
      </c>
      <c r="U199" s="123">
        <f t="shared" si="74"/>
        <v>3663274099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</row>
    <row r="200" spans="1:115" s="19" customFormat="1" ht="21.75" customHeight="1" thickTop="1">
      <c r="A200" s="239" t="s">
        <v>45</v>
      </c>
      <c r="B200" s="239"/>
      <c r="C200" s="239"/>
      <c r="D200" s="239"/>
      <c r="E200" s="239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</row>
    <row r="201" spans="1:115" ht="18" customHeight="1">
      <c r="A201" s="35" t="s">
        <v>38</v>
      </c>
    </row>
    <row r="202" spans="1:115" ht="18" customHeight="1">
      <c r="A202" s="221" t="s">
        <v>49</v>
      </c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</row>
    <row r="203" spans="1:115" ht="18" customHeight="1">
      <c r="A203" s="221" t="s">
        <v>48</v>
      </c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</row>
    <row r="204" spans="1:115" ht="18" customHeight="1">
      <c r="A204" s="221" t="s">
        <v>33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</row>
    <row r="205" spans="1:115" ht="18" customHeight="1">
      <c r="A205" s="218" t="s">
        <v>50</v>
      </c>
      <c r="B205" s="218"/>
      <c r="C205" s="218"/>
      <c r="D205" s="218"/>
      <c r="E205" s="218"/>
      <c r="F205" s="218"/>
      <c r="G205" s="218"/>
      <c r="H205" s="218"/>
    </row>
    <row r="206" spans="1:115" ht="18" customHeight="1">
      <c r="A206" s="218" t="s">
        <v>55</v>
      </c>
      <c r="B206" s="218"/>
      <c r="C206" s="218"/>
      <c r="D206" s="218"/>
      <c r="E206" s="218"/>
    </row>
  </sheetData>
  <mergeCells count="14">
    <mergeCell ref="A205:H205"/>
    <mergeCell ref="A206:E206"/>
    <mergeCell ref="A1:U1"/>
    <mergeCell ref="A202:Q202"/>
    <mergeCell ref="A203:Q203"/>
    <mergeCell ref="A204:Q204"/>
    <mergeCell ref="C2:E3"/>
    <mergeCell ref="F2:H3"/>
    <mergeCell ref="A2:A4"/>
    <mergeCell ref="B2:B4"/>
    <mergeCell ref="I2:U2"/>
    <mergeCell ref="I3:N3"/>
    <mergeCell ref="P3:U3"/>
    <mergeCell ref="A200:E2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K205"/>
  <sheetViews>
    <sheetView workbookViewId="0">
      <selection activeCell="I17" sqref="I17"/>
    </sheetView>
    <sheetView workbookViewId="1">
      <selection activeCell="L4" sqref="L4"/>
    </sheetView>
  </sheetViews>
  <sheetFormatPr defaultColWidth="9.140625" defaultRowHeight="15"/>
  <cols>
    <col min="1" max="1" width="9.140625" style="12"/>
    <col min="2" max="2" width="12.5703125" style="12" customWidth="1"/>
    <col min="3" max="3" width="14.140625" style="5" customWidth="1"/>
    <col min="4" max="4" width="14.85546875" style="5" customWidth="1"/>
    <col min="5" max="5" width="15.5703125" style="5" customWidth="1"/>
    <col min="6" max="6" width="16" style="5" customWidth="1"/>
    <col min="7" max="7" width="15.85546875" style="5" customWidth="1"/>
    <col min="8" max="8" width="16.42578125" style="5" customWidth="1"/>
    <col min="9" max="9" width="15.140625" style="5" customWidth="1"/>
    <col min="10" max="10" width="15.7109375" style="5" customWidth="1"/>
    <col min="11" max="11" width="15.140625" style="5" customWidth="1"/>
    <col min="12" max="12" width="14.42578125" style="5" customWidth="1"/>
    <col min="13" max="13" width="16.42578125" style="5" customWidth="1"/>
    <col min="14" max="14" width="15.7109375" style="5" customWidth="1"/>
    <col min="15" max="15" width="16.5703125" style="5" customWidth="1"/>
    <col min="16" max="16384" width="9.140625" style="5"/>
  </cols>
  <sheetData>
    <row r="1" spans="1:15" ht="15.75" thickBot="1">
      <c r="A1" s="219" t="s">
        <v>39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3" customFormat="1" ht="15.75" thickBot="1">
      <c r="A2" s="249" t="s">
        <v>36</v>
      </c>
      <c r="B2" s="250" t="s">
        <v>37</v>
      </c>
      <c r="C2" s="240" t="s">
        <v>47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</row>
    <row r="3" spans="1:15" s="3" customFormat="1" ht="15.75" thickBot="1">
      <c r="A3" s="249"/>
      <c r="B3" s="250"/>
      <c r="C3" s="243" t="s">
        <v>1</v>
      </c>
      <c r="D3" s="244"/>
      <c r="E3" s="244"/>
      <c r="F3" s="244"/>
      <c r="G3" s="244"/>
      <c r="H3" s="245"/>
      <c r="I3" s="150" t="s">
        <v>26</v>
      </c>
      <c r="J3" s="246" t="s">
        <v>15</v>
      </c>
      <c r="K3" s="247"/>
      <c r="L3" s="247"/>
      <c r="M3" s="247"/>
      <c r="N3" s="247"/>
      <c r="O3" s="248"/>
    </row>
    <row r="4" spans="1:15" s="3" customFormat="1" ht="15.75" thickBot="1">
      <c r="A4" s="249"/>
      <c r="B4" s="250"/>
      <c r="C4" s="151" t="s">
        <v>20</v>
      </c>
      <c r="D4" s="138" t="s">
        <v>21</v>
      </c>
      <c r="E4" s="138" t="s">
        <v>22</v>
      </c>
      <c r="F4" s="138" t="s">
        <v>23</v>
      </c>
      <c r="G4" s="138" t="s">
        <v>24</v>
      </c>
      <c r="H4" s="152" t="s">
        <v>25</v>
      </c>
      <c r="I4" s="155" t="s">
        <v>20</v>
      </c>
      <c r="J4" s="153" t="s">
        <v>20</v>
      </c>
      <c r="K4" s="138" t="s">
        <v>21</v>
      </c>
      <c r="L4" s="138" t="s">
        <v>22</v>
      </c>
      <c r="M4" s="138" t="s">
        <v>23</v>
      </c>
      <c r="N4" s="138" t="s">
        <v>24</v>
      </c>
      <c r="O4" s="154" t="s">
        <v>25</v>
      </c>
    </row>
    <row r="5" spans="1:15">
      <c r="A5" s="25">
        <v>2000</v>
      </c>
      <c r="B5" s="28" t="s">
        <v>2</v>
      </c>
      <c r="C5" s="38">
        <v>13640652.310000001</v>
      </c>
      <c r="D5" s="39">
        <v>4426193.87</v>
      </c>
      <c r="E5" s="39">
        <v>6883613.2400000002</v>
      </c>
      <c r="F5" s="39">
        <f>39232115.96+9795.44</f>
        <v>39241911.399999999</v>
      </c>
      <c r="G5" s="39">
        <v>32212954.690000001</v>
      </c>
      <c r="H5" s="40">
        <f t="shared" ref="H5:H16" si="0">SUM(C5:G5)</f>
        <v>96405325.510000005</v>
      </c>
      <c r="I5" s="41">
        <v>10320695.960000001</v>
      </c>
      <c r="J5" s="42">
        <v>37779944.740000002</v>
      </c>
      <c r="K5" s="39">
        <v>8391831.9700000007</v>
      </c>
      <c r="L5" s="39">
        <v>4854243.46</v>
      </c>
      <c r="M5" s="39">
        <f>65921428.5-409673.82</f>
        <v>65511754.68</v>
      </c>
      <c r="N5" s="39">
        <v>65592666.950000003</v>
      </c>
      <c r="O5" s="43">
        <f t="shared" ref="O5:O36" si="1">SUM(I5:N5)</f>
        <v>192451137.75999999</v>
      </c>
    </row>
    <row r="6" spans="1:15">
      <c r="A6" s="25">
        <v>2000</v>
      </c>
      <c r="B6" s="28" t="s">
        <v>3</v>
      </c>
      <c r="C6" s="38">
        <v>10631768.039999999</v>
      </c>
      <c r="D6" s="39">
        <v>3874148.03</v>
      </c>
      <c r="E6" s="39">
        <v>8201836.4400000004</v>
      </c>
      <c r="F6" s="39">
        <f>35478891.57-299686.18</f>
        <v>35179205.390000001</v>
      </c>
      <c r="G6" s="39">
        <v>30143506.420000002</v>
      </c>
      <c r="H6" s="40">
        <f t="shared" si="0"/>
        <v>88030464.319999993</v>
      </c>
      <c r="I6" s="41">
        <v>10301153.27</v>
      </c>
      <c r="J6" s="42">
        <v>37567023.629999995</v>
      </c>
      <c r="K6" s="39">
        <v>8865008.4900000002</v>
      </c>
      <c r="L6" s="39">
        <v>6406728.0800000001</v>
      </c>
      <c r="M6" s="39">
        <f>61475824.93-596578.03</f>
        <v>60879246.899999999</v>
      </c>
      <c r="N6" s="39">
        <v>57158969.579999998</v>
      </c>
      <c r="O6" s="43">
        <f t="shared" si="1"/>
        <v>181178129.94999999</v>
      </c>
    </row>
    <row r="7" spans="1:15">
      <c r="A7" s="25">
        <v>2000</v>
      </c>
      <c r="B7" s="28" t="s">
        <v>4</v>
      </c>
      <c r="C7" s="38">
        <v>11382229.279999999</v>
      </c>
      <c r="D7" s="39">
        <v>4517567.26</v>
      </c>
      <c r="E7" s="39">
        <v>10093600.300000001</v>
      </c>
      <c r="F7" s="44">
        <f>38331943.19-546692.66</f>
        <v>37785250.530000001</v>
      </c>
      <c r="G7" s="39">
        <v>37121253.219999999</v>
      </c>
      <c r="H7" s="40">
        <f t="shared" si="0"/>
        <v>100899900.59</v>
      </c>
      <c r="I7" s="41">
        <v>11092084.210000001</v>
      </c>
      <c r="J7" s="42">
        <v>40451338</v>
      </c>
      <c r="K7" s="39">
        <v>9093894.4800000004</v>
      </c>
      <c r="L7" s="39">
        <v>7119813.96</v>
      </c>
      <c r="M7" s="39">
        <f>62390831.61-36235.25</f>
        <v>62354596.359999999</v>
      </c>
      <c r="N7" s="39">
        <v>60292215.130000003</v>
      </c>
      <c r="O7" s="43">
        <f t="shared" si="1"/>
        <v>190403942.13999999</v>
      </c>
    </row>
    <row r="8" spans="1:15">
      <c r="A8" s="25">
        <v>2000</v>
      </c>
      <c r="B8" s="28" t="s">
        <v>5</v>
      </c>
      <c r="C8" s="38">
        <v>12086464.550000001</v>
      </c>
      <c r="D8" s="39">
        <v>4823986.8899999997</v>
      </c>
      <c r="E8" s="39">
        <v>11734473.66</v>
      </c>
      <c r="F8" s="39">
        <f>35923319.15+1749837.17</f>
        <v>37673156.32</v>
      </c>
      <c r="G8" s="39">
        <v>40407734.060000002</v>
      </c>
      <c r="H8" s="40">
        <f t="shared" si="0"/>
        <v>106725815.48</v>
      </c>
      <c r="I8" s="41">
        <v>11034460.66</v>
      </c>
      <c r="J8" s="42">
        <v>40114796.909999996</v>
      </c>
      <c r="K8" s="39">
        <v>8840419.3000000007</v>
      </c>
      <c r="L8" s="39">
        <v>7537466.5999999996</v>
      </c>
      <c r="M8" s="39">
        <f>62621358.9+1094810.13</f>
        <v>63716169.030000001</v>
      </c>
      <c r="N8" s="39">
        <v>57329572.109999999</v>
      </c>
      <c r="O8" s="43">
        <f t="shared" si="1"/>
        <v>188572884.60999998</v>
      </c>
    </row>
    <row r="9" spans="1:15">
      <c r="A9" s="25">
        <v>2000</v>
      </c>
      <c r="B9" s="28" t="s">
        <v>6</v>
      </c>
      <c r="C9" s="38">
        <v>14755385.380000001</v>
      </c>
      <c r="D9" s="39">
        <v>5170757.5599999996</v>
      </c>
      <c r="E9" s="39">
        <v>14478154.109999999</v>
      </c>
      <c r="F9" s="39">
        <f>40377360.58-972530.49</f>
        <v>39404830.089999996</v>
      </c>
      <c r="G9" s="39">
        <v>46787015.939999998</v>
      </c>
      <c r="H9" s="40">
        <f t="shared" si="0"/>
        <v>120596143.07999998</v>
      </c>
      <c r="I9" s="41">
        <v>11963148.66</v>
      </c>
      <c r="J9" s="42">
        <v>43349346.780000001</v>
      </c>
      <c r="K9" s="39">
        <v>9358502.4000000004</v>
      </c>
      <c r="L9" s="39">
        <v>8239260.29</v>
      </c>
      <c r="M9" s="39">
        <f>61874611.46-1065720.95</f>
        <v>60808890.509999998</v>
      </c>
      <c r="N9" s="39">
        <v>52015865.869999997</v>
      </c>
      <c r="O9" s="43">
        <f t="shared" si="1"/>
        <v>185735014.50999999</v>
      </c>
    </row>
    <row r="10" spans="1:15">
      <c r="A10" s="25">
        <v>2000</v>
      </c>
      <c r="B10" s="28" t="s">
        <v>7</v>
      </c>
      <c r="C10" s="38">
        <v>14849175.32</v>
      </c>
      <c r="D10" s="39">
        <v>6891287.3799999999</v>
      </c>
      <c r="E10" s="39">
        <v>18958914.84</v>
      </c>
      <c r="F10" s="39">
        <f>34130249.22+24936.98</f>
        <v>34155186.199999996</v>
      </c>
      <c r="G10" s="39">
        <v>47607183.479999997</v>
      </c>
      <c r="H10" s="40">
        <f t="shared" si="0"/>
        <v>122461747.22</v>
      </c>
      <c r="I10" s="41">
        <v>11276094.890000001</v>
      </c>
      <c r="J10" s="42">
        <v>40987209.82</v>
      </c>
      <c r="K10" s="39">
        <v>8721437.3100000005</v>
      </c>
      <c r="L10" s="39">
        <v>7940699.1600000001</v>
      </c>
      <c r="M10" s="39">
        <f>57645757.91-638707.78</f>
        <v>57007050.129999995</v>
      </c>
      <c r="N10" s="39">
        <v>55532144.340000004</v>
      </c>
      <c r="O10" s="43">
        <f t="shared" si="1"/>
        <v>181464635.65000001</v>
      </c>
    </row>
    <row r="11" spans="1:15">
      <c r="A11" s="25">
        <v>2000</v>
      </c>
      <c r="B11" s="28" t="s">
        <v>8</v>
      </c>
      <c r="C11" s="38">
        <v>17981023.52</v>
      </c>
      <c r="D11" s="39">
        <v>5732918.29</v>
      </c>
      <c r="E11" s="39">
        <v>20072458.43</v>
      </c>
      <c r="F11" s="39">
        <f>31130927.24+431872.16</f>
        <v>31562799.399999999</v>
      </c>
      <c r="G11" s="39">
        <v>47930789.859999999</v>
      </c>
      <c r="H11" s="40">
        <f t="shared" si="0"/>
        <v>123279989.49999999</v>
      </c>
      <c r="I11" s="41">
        <v>11325615.82</v>
      </c>
      <c r="J11" s="42">
        <v>41161065.109999999</v>
      </c>
      <c r="K11" s="39">
        <v>8091913.9699999997</v>
      </c>
      <c r="L11" s="39">
        <v>7959626.9000000004</v>
      </c>
      <c r="M11" s="39">
        <f>59037508.93+755394.62</f>
        <v>59792903.549999997</v>
      </c>
      <c r="N11" s="39">
        <v>71522215.780000001</v>
      </c>
      <c r="O11" s="43">
        <f t="shared" si="1"/>
        <v>199853341.13</v>
      </c>
    </row>
    <row r="12" spans="1:15">
      <c r="A12" s="25">
        <v>2000</v>
      </c>
      <c r="B12" s="28" t="s">
        <v>9</v>
      </c>
      <c r="C12" s="38">
        <v>16843485.579999998</v>
      </c>
      <c r="D12" s="39">
        <v>7138855.3700000001</v>
      </c>
      <c r="E12" s="39">
        <v>15566403.539999999</v>
      </c>
      <c r="F12" s="39">
        <v>32180058.870000001</v>
      </c>
      <c r="G12" s="39">
        <v>48408532.049999997</v>
      </c>
      <c r="H12" s="40">
        <f t="shared" si="0"/>
        <v>120137335.41</v>
      </c>
      <c r="I12" s="41">
        <v>11844617.99</v>
      </c>
      <c r="J12" s="42">
        <v>43060320.409999996</v>
      </c>
      <c r="K12" s="39">
        <v>9595492.8300000001</v>
      </c>
      <c r="L12" s="39">
        <v>7680544.5</v>
      </c>
      <c r="M12" s="39">
        <v>52770600.030000001</v>
      </c>
      <c r="N12" s="39">
        <v>68151912.510000005</v>
      </c>
      <c r="O12" s="43">
        <f t="shared" si="1"/>
        <v>193103488.26999998</v>
      </c>
    </row>
    <row r="13" spans="1:15">
      <c r="A13" s="25">
        <v>2000</v>
      </c>
      <c r="B13" s="28" t="s">
        <v>10</v>
      </c>
      <c r="C13" s="38">
        <v>15592495.92</v>
      </c>
      <c r="D13" s="39">
        <v>6100852.5499999998</v>
      </c>
      <c r="E13" s="39">
        <v>11796122.710000001</v>
      </c>
      <c r="F13" s="39">
        <f>35865708.57+1197350.18</f>
        <v>37063058.75</v>
      </c>
      <c r="G13" s="39">
        <v>46779445.57</v>
      </c>
      <c r="H13" s="40">
        <f t="shared" si="0"/>
        <v>117331975.5</v>
      </c>
      <c r="I13" s="41">
        <v>11680752.92</v>
      </c>
      <c r="J13" s="42">
        <v>42547901.989999995</v>
      </c>
      <c r="K13" s="39">
        <v>8706054.3599999994</v>
      </c>
      <c r="L13" s="39">
        <v>6509111.7599999998</v>
      </c>
      <c r="M13" s="39">
        <f>54398451.02+1096185.05</f>
        <v>55494636.07</v>
      </c>
      <c r="N13" s="39">
        <v>71476827.180000007</v>
      </c>
      <c r="O13" s="43">
        <f t="shared" si="1"/>
        <v>196415284.28</v>
      </c>
    </row>
    <row r="14" spans="1:15">
      <c r="A14" s="25">
        <v>2000</v>
      </c>
      <c r="B14" s="28" t="s">
        <v>11</v>
      </c>
      <c r="C14" s="38">
        <v>16803250.09</v>
      </c>
      <c r="D14" s="39">
        <v>6517269.5499999998</v>
      </c>
      <c r="E14" s="39">
        <v>10836381.57</v>
      </c>
      <c r="F14" s="39">
        <f>38110002.02-656267.51</f>
        <v>37453734.510000005</v>
      </c>
      <c r="G14" s="39">
        <v>48215429.469999999</v>
      </c>
      <c r="H14" s="40">
        <f t="shared" si="0"/>
        <v>119826065.19</v>
      </c>
      <c r="I14" s="41">
        <v>12525717.5</v>
      </c>
      <c r="J14" s="42">
        <v>45546599.630000003</v>
      </c>
      <c r="K14" s="39">
        <v>8861706.3699999992</v>
      </c>
      <c r="L14" s="39">
        <v>6369079.2400000002</v>
      </c>
      <c r="M14" s="39">
        <f>56094233.67-539284.99</f>
        <v>55554948.68</v>
      </c>
      <c r="N14" s="39">
        <v>52379083.350000001</v>
      </c>
      <c r="O14" s="43">
        <f t="shared" si="1"/>
        <v>181237134.76999998</v>
      </c>
    </row>
    <row r="15" spans="1:15">
      <c r="A15" s="25">
        <v>2000</v>
      </c>
      <c r="B15" s="28" t="s">
        <v>12</v>
      </c>
      <c r="C15" s="38">
        <v>16058839.6</v>
      </c>
      <c r="D15" s="39">
        <v>8825888.7200000007</v>
      </c>
      <c r="E15" s="39">
        <v>10304936.859999999</v>
      </c>
      <c r="F15" s="39">
        <f>52318079.29+421908.59</f>
        <v>52739987.880000003</v>
      </c>
      <c r="G15" s="39">
        <v>64222717</v>
      </c>
      <c r="H15" s="40">
        <f t="shared" si="0"/>
        <v>152152370.06</v>
      </c>
      <c r="I15" s="41">
        <v>11931957.199999999</v>
      </c>
      <c r="J15" s="42">
        <v>43520690.189999998</v>
      </c>
      <c r="K15" s="39">
        <v>9141317.5299999993</v>
      </c>
      <c r="L15" s="39">
        <v>5261869.91</v>
      </c>
      <c r="M15" s="39">
        <f>54153611.45-491606.97</f>
        <v>53662004.480000004</v>
      </c>
      <c r="N15" s="39">
        <v>30909085.91</v>
      </c>
      <c r="O15" s="43">
        <f t="shared" si="1"/>
        <v>154426925.22</v>
      </c>
    </row>
    <row r="16" spans="1:15" ht="15.75" thickBot="1">
      <c r="A16" s="25">
        <v>2000</v>
      </c>
      <c r="B16" s="28" t="s">
        <v>13</v>
      </c>
      <c r="C16" s="38">
        <v>18429415.43</v>
      </c>
      <c r="D16" s="39">
        <v>8887234.5099999998</v>
      </c>
      <c r="E16" s="39">
        <v>9766252.7100000009</v>
      </c>
      <c r="F16" s="39">
        <f>54658311.73+2283144.91</f>
        <v>56941456.640000001</v>
      </c>
      <c r="G16" s="39">
        <v>66239001.399999999</v>
      </c>
      <c r="H16" s="40">
        <f t="shared" si="0"/>
        <v>160263360.69</v>
      </c>
      <c r="I16" s="41">
        <v>11498522.66</v>
      </c>
      <c r="J16" s="42">
        <v>41854619.530000001</v>
      </c>
      <c r="K16" s="39">
        <v>9360147.3100000005</v>
      </c>
      <c r="L16" s="39">
        <v>4225359.8</v>
      </c>
      <c r="M16" s="39">
        <f>57822707.55+865471.14</f>
        <v>58688178.689999998</v>
      </c>
      <c r="N16" s="39">
        <v>44026089.659999996</v>
      </c>
      <c r="O16" s="43">
        <f t="shared" si="1"/>
        <v>169652917.64999998</v>
      </c>
    </row>
    <row r="17" spans="1:15" s="3" customFormat="1" ht="16.5" thickTop="1" thickBot="1">
      <c r="A17" s="33">
        <v>2000</v>
      </c>
      <c r="B17" s="34" t="s">
        <v>14</v>
      </c>
      <c r="C17" s="45">
        <f t="shared" ref="C17:I17" si="2">SUM(C5:C16)</f>
        <v>179054185.02000001</v>
      </c>
      <c r="D17" s="46">
        <f t="shared" si="2"/>
        <v>72906959.979999989</v>
      </c>
      <c r="E17" s="46">
        <f t="shared" si="2"/>
        <v>148693148.41</v>
      </c>
      <c r="F17" s="46">
        <f t="shared" si="2"/>
        <v>471380635.97999996</v>
      </c>
      <c r="G17" s="46">
        <f t="shared" si="2"/>
        <v>556075563.15999997</v>
      </c>
      <c r="H17" s="47">
        <f t="shared" si="2"/>
        <v>1428110492.55</v>
      </c>
      <c r="I17" s="48">
        <f t="shared" si="2"/>
        <v>136794821.74000001</v>
      </c>
      <c r="J17" s="49">
        <v>497940856.74000001</v>
      </c>
      <c r="K17" s="46">
        <f>SUM(K5:K16)</f>
        <v>107027726.32000001</v>
      </c>
      <c r="L17" s="46">
        <f>SUM(L5:L16)</f>
        <v>80103803.659999982</v>
      </c>
      <c r="M17" s="46">
        <f>SUM(M5:M16)</f>
        <v>706240979.11000013</v>
      </c>
      <c r="N17" s="46">
        <f>SUM(N5:N16)</f>
        <v>686386648.37</v>
      </c>
      <c r="O17" s="50">
        <f t="shared" si="1"/>
        <v>2214494835.9400001</v>
      </c>
    </row>
    <row r="18" spans="1:15" ht="15.75" thickTop="1">
      <c r="A18" s="25">
        <v>2001</v>
      </c>
      <c r="B18" s="28" t="s">
        <v>2</v>
      </c>
      <c r="C18" s="38">
        <v>24719339.789999999</v>
      </c>
      <c r="D18" s="39">
        <v>6386171.8099999996</v>
      </c>
      <c r="E18" s="39">
        <v>12327287.09</v>
      </c>
      <c r="F18" s="39">
        <f>48649782.48-1626797.35</f>
        <v>47022985.129999995</v>
      </c>
      <c r="G18" s="39">
        <v>52753482.299999997</v>
      </c>
      <c r="H18" s="40">
        <f t="shared" ref="H18:H29" si="3">SUM(C18:G18)</f>
        <v>143209266.12</v>
      </c>
      <c r="I18" s="41">
        <v>12025807.609999999</v>
      </c>
      <c r="J18" s="42">
        <v>43775512.640000001</v>
      </c>
      <c r="K18" s="39">
        <v>8197951.8099999996</v>
      </c>
      <c r="L18" s="39">
        <v>5987556.5700000003</v>
      </c>
      <c r="M18" s="39">
        <f>59256440.01-102071.73</f>
        <v>59154368.280000001</v>
      </c>
      <c r="N18" s="39">
        <v>56321576.780000001</v>
      </c>
      <c r="O18" s="43">
        <f t="shared" si="1"/>
        <v>185462773.69</v>
      </c>
    </row>
    <row r="19" spans="1:15">
      <c r="A19" s="25">
        <v>2001</v>
      </c>
      <c r="B19" s="28" t="s">
        <v>3</v>
      </c>
      <c r="C19" s="38">
        <v>14418169.6</v>
      </c>
      <c r="D19" s="39">
        <v>5492491.5599999996</v>
      </c>
      <c r="E19" s="39">
        <v>11776683.91</v>
      </c>
      <c r="F19" s="39">
        <f>49162945.27+241008.93</f>
        <v>49403954.200000003</v>
      </c>
      <c r="G19" s="39">
        <v>55595437.149999999</v>
      </c>
      <c r="H19" s="40">
        <f t="shared" si="3"/>
        <v>136686736.42000002</v>
      </c>
      <c r="I19" s="41">
        <v>10945866.73</v>
      </c>
      <c r="J19" s="42">
        <v>39719939.920000002</v>
      </c>
      <c r="K19" s="39">
        <v>7821271.7000000002</v>
      </c>
      <c r="L19" s="39">
        <v>5672657.1900000004</v>
      </c>
      <c r="M19" s="39">
        <f>53458715.66-66272.23</f>
        <v>53392443.43</v>
      </c>
      <c r="N19" s="39">
        <v>55084432.93</v>
      </c>
      <c r="O19" s="43">
        <f t="shared" si="1"/>
        <v>172636611.90000001</v>
      </c>
    </row>
    <row r="20" spans="1:15">
      <c r="A20" s="25">
        <v>2001</v>
      </c>
      <c r="B20" s="28" t="s">
        <v>4</v>
      </c>
      <c r="C20" s="38">
        <v>17891904.260000002</v>
      </c>
      <c r="D20" s="39">
        <v>7445496.7000000002</v>
      </c>
      <c r="E20" s="39">
        <v>17207149.73</v>
      </c>
      <c r="F20" s="39">
        <f>52140790.41+1313762.43</f>
        <v>53454552.839999996</v>
      </c>
      <c r="G20" s="39">
        <v>72636084.920000002</v>
      </c>
      <c r="H20" s="40">
        <f t="shared" si="3"/>
        <v>168635188.44999999</v>
      </c>
      <c r="I20" s="41">
        <v>12104511.130000001</v>
      </c>
      <c r="J20" s="42">
        <v>43583033.609999999</v>
      </c>
      <c r="K20" s="39">
        <v>9193745.0099999998</v>
      </c>
      <c r="L20" s="39">
        <v>7096522.3600000003</v>
      </c>
      <c r="M20" s="39">
        <f>56942780.6+673121.07</f>
        <v>57615901.670000002</v>
      </c>
      <c r="N20" s="39">
        <v>67924353.060000002</v>
      </c>
      <c r="O20" s="43">
        <f t="shared" si="1"/>
        <v>197518066.84</v>
      </c>
    </row>
    <row r="21" spans="1:15">
      <c r="A21" s="25">
        <v>2001</v>
      </c>
      <c r="B21" s="28" t="s">
        <v>5</v>
      </c>
      <c r="C21" s="38">
        <v>20075249.329999998</v>
      </c>
      <c r="D21" s="39">
        <v>8650707.6600000001</v>
      </c>
      <c r="E21" s="39">
        <v>19507312.989999998</v>
      </c>
      <c r="F21" s="39">
        <f>58750433.03+1200936.72</f>
        <v>59951369.75</v>
      </c>
      <c r="G21" s="39">
        <v>82546169.650000006</v>
      </c>
      <c r="H21" s="40">
        <f t="shared" si="3"/>
        <v>190730809.38</v>
      </c>
      <c r="I21" s="41">
        <v>11582655.210000001</v>
      </c>
      <c r="J21" s="42">
        <v>41632786.229999997</v>
      </c>
      <c r="K21" s="39">
        <v>8599775.4299999997</v>
      </c>
      <c r="L21" s="39">
        <v>7613045.1200000001</v>
      </c>
      <c r="M21" s="39">
        <f>59083286.27-890364.08</f>
        <v>58192922.190000005</v>
      </c>
      <c r="N21" s="39">
        <v>65144967.950000003</v>
      </c>
      <c r="O21" s="43">
        <f t="shared" si="1"/>
        <v>192766152.13</v>
      </c>
    </row>
    <row r="22" spans="1:15">
      <c r="A22" s="25">
        <v>2001</v>
      </c>
      <c r="B22" s="28" t="s">
        <v>6</v>
      </c>
      <c r="C22" s="38">
        <v>23165329.890000001</v>
      </c>
      <c r="D22" s="39">
        <v>9574708.0199999996</v>
      </c>
      <c r="E22" s="39">
        <v>22961384.16</v>
      </c>
      <c r="F22" s="39">
        <f>58627419.82-1100282.93</f>
        <v>57527136.890000001</v>
      </c>
      <c r="G22" s="39">
        <v>90216315.019999996</v>
      </c>
      <c r="H22" s="40">
        <f t="shared" si="3"/>
        <v>203444873.98000002</v>
      </c>
      <c r="I22" s="41">
        <v>12007619.02</v>
      </c>
      <c r="J22" s="42">
        <v>43269209.129999995</v>
      </c>
      <c r="K22" s="39">
        <v>9219005.6899999995</v>
      </c>
      <c r="L22" s="39">
        <v>8350241.0800000001</v>
      </c>
      <c r="M22" s="39">
        <f>59652139.88-63335.75</f>
        <v>59588804.130000003</v>
      </c>
      <c r="N22" s="39">
        <v>86444631.739999995</v>
      </c>
      <c r="O22" s="43">
        <f t="shared" si="1"/>
        <v>218879510.78999996</v>
      </c>
    </row>
    <row r="23" spans="1:15">
      <c r="A23" s="25">
        <v>2001</v>
      </c>
      <c r="B23" s="28" t="s">
        <v>7</v>
      </c>
      <c r="C23" s="38">
        <v>23931094.640000001</v>
      </c>
      <c r="D23" s="39">
        <v>10777152.01</v>
      </c>
      <c r="E23" s="39">
        <v>28505904.969999999</v>
      </c>
      <c r="F23" s="39">
        <f>56002546.22+220571.47</f>
        <v>56223117.689999998</v>
      </c>
      <c r="G23" s="39">
        <v>93881462.920000002</v>
      </c>
      <c r="H23" s="40">
        <f t="shared" si="3"/>
        <v>213318732.23000002</v>
      </c>
      <c r="I23" s="41">
        <v>11050695.5</v>
      </c>
      <c r="J23" s="42">
        <v>39721167.520000003</v>
      </c>
      <c r="K23" s="39">
        <v>8343799.2300000004</v>
      </c>
      <c r="L23" s="39">
        <v>8183998.9699999997</v>
      </c>
      <c r="M23" s="39">
        <f>58031060.31+159027.79</f>
        <v>58190088.100000001</v>
      </c>
      <c r="N23" s="39">
        <v>87560841.920000002</v>
      </c>
      <c r="O23" s="43">
        <f t="shared" si="1"/>
        <v>213050591.24000001</v>
      </c>
    </row>
    <row r="24" spans="1:15">
      <c r="A24" s="25">
        <v>2001</v>
      </c>
      <c r="B24" s="28" t="s">
        <v>8</v>
      </c>
      <c r="C24" s="38">
        <v>27249846.690000001</v>
      </c>
      <c r="D24" s="39">
        <v>11352019.189999999</v>
      </c>
      <c r="E24" s="39">
        <v>28044008.859999999</v>
      </c>
      <c r="F24" s="39">
        <f>52382038.83-325312.96</f>
        <v>52056725.869999997</v>
      </c>
      <c r="G24" s="39">
        <v>92693695.459999993</v>
      </c>
      <c r="H24" s="40">
        <f t="shared" si="3"/>
        <v>211396296.06999999</v>
      </c>
      <c r="I24" s="41">
        <v>11695974.529999999</v>
      </c>
      <c r="J24" s="42">
        <v>42083580.969999999</v>
      </c>
      <c r="K24" s="39">
        <v>8582237.9499999993</v>
      </c>
      <c r="L24" s="39">
        <v>8143326.5300000003</v>
      </c>
      <c r="M24" s="39">
        <f>52667836.32-721026.77</f>
        <v>51946809.549999997</v>
      </c>
      <c r="N24" s="39">
        <v>95392187.049999997</v>
      </c>
      <c r="O24" s="43">
        <f t="shared" si="1"/>
        <v>217844116.57999998</v>
      </c>
    </row>
    <row r="25" spans="1:15">
      <c r="A25" s="25">
        <v>2001</v>
      </c>
      <c r="B25" s="28" t="s">
        <v>9</v>
      </c>
      <c r="C25" s="38">
        <v>28289256.48</v>
      </c>
      <c r="D25" s="39">
        <v>12335358.1</v>
      </c>
      <c r="E25" s="39">
        <v>29937763.350000001</v>
      </c>
      <c r="F25" s="39">
        <f>57715933.04+705426.56</f>
        <v>58421359.600000001</v>
      </c>
      <c r="G25" s="39">
        <v>98517082.980000004</v>
      </c>
      <c r="H25" s="40">
        <f t="shared" si="3"/>
        <v>227500820.50999999</v>
      </c>
      <c r="I25" s="41">
        <v>11808916.99</v>
      </c>
      <c r="J25" s="42">
        <v>43006882.18</v>
      </c>
      <c r="K25" s="39">
        <v>8548463.7899999991</v>
      </c>
      <c r="L25" s="39">
        <v>8088907.4000000004</v>
      </c>
      <c r="M25" s="39">
        <f>50110654.33-437351.84</f>
        <v>49673302.489999995</v>
      </c>
      <c r="N25" s="39">
        <v>91044312.989999995</v>
      </c>
      <c r="O25" s="43">
        <f t="shared" si="1"/>
        <v>212170785.83999997</v>
      </c>
    </row>
    <row r="26" spans="1:15">
      <c r="A26" s="25">
        <v>2001</v>
      </c>
      <c r="B26" s="28" t="s">
        <v>10</v>
      </c>
      <c r="C26" s="38">
        <v>26550729.84</v>
      </c>
      <c r="D26" s="39">
        <v>11079692.630000001</v>
      </c>
      <c r="E26" s="39">
        <v>27298952.32</v>
      </c>
      <c r="F26" s="39">
        <f>60097017.02+4285815.95</f>
        <v>64382832.970000006</v>
      </c>
      <c r="G26" s="39">
        <v>101311498.29000001</v>
      </c>
      <c r="H26" s="40">
        <f t="shared" si="3"/>
        <v>230623706.05000001</v>
      </c>
      <c r="I26" s="41">
        <v>11311422.369999999</v>
      </c>
      <c r="J26" s="42">
        <v>41376582.850000001</v>
      </c>
      <c r="K26" s="39">
        <v>8184641.3099999996</v>
      </c>
      <c r="L26" s="39">
        <v>6876463.0700000003</v>
      </c>
      <c r="M26" s="39">
        <f>49908311.32+1539731.14</f>
        <v>51448042.460000001</v>
      </c>
      <c r="N26" s="39">
        <v>84530729.549999997</v>
      </c>
      <c r="O26" s="43">
        <f t="shared" si="1"/>
        <v>203727881.61000001</v>
      </c>
    </row>
    <row r="27" spans="1:15">
      <c r="A27" s="25">
        <v>2001</v>
      </c>
      <c r="B27" s="28" t="s">
        <v>11</v>
      </c>
      <c r="C27" s="38">
        <v>31993803.25</v>
      </c>
      <c r="D27" s="39">
        <v>12532384.49</v>
      </c>
      <c r="E27" s="39">
        <v>19389739.91</v>
      </c>
      <c r="F27" s="39">
        <f>55062513.33-5791968.9</f>
        <v>49270544.43</v>
      </c>
      <c r="G27" s="39">
        <v>71381556</v>
      </c>
      <c r="H27" s="40">
        <f t="shared" si="3"/>
        <v>184568028.08000001</v>
      </c>
      <c r="I27" s="41">
        <v>11768263.23</v>
      </c>
      <c r="J27" s="42">
        <v>43229518.310000002</v>
      </c>
      <c r="K27" s="39">
        <v>8398501.2100000009</v>
      </c>
      <c r="L27" s="39">
        <v>5964147.8399999999</v>
      </c>
      <c r="M27" s="39">
        <f>53058580.5-572623.21</f>
        <v>52485957.289999999</v>
      </c>
      <c r="N27" s="39">
        <v>81595121.469999999</v>
      </c>
      <c r="O27" s="43">
        <f t="shared" si="1"/>
        <v>203441509.34999999</v>
      </c>
    </row>
    <row r="28" spans="1:15">
      <c r="A28" s="25">
        <v>2001</v>
      </c>
      <c r="B28" s="28" t="s">
        <v>12</v>
      </c>
      <c r="C28" s="38">
        <v>22814774.43</v>
      </c>
      <c r="D28" s="39">
        <v>14218822.26</v>
      </c>
      <c r="E28" s="39">
        <v>14249517.720000001</v>
      </c>
      <c r="F28" s="39">
        <f>49217374.18-802319.5</f>
        <v>48415054.68</v>
      </c>
      <c r="G28" s="39">
        <v>61225708.810000002</v>
      </c>
      <c r="H28" s="40">
        <f t="shared" si="3"/>
        <v>160923877.90000001</v>
      </c>
      <c r="I28" s="41">
        <v>12311219.390000001</v>
      </c>
      <c r="J28" s="42">
        <v>44864064.969999999</v>
      </c>
      <c r="K28" s="39">
        <v>7162530.1699999999</v>
      </c>
      <c r="L28" s="39">
        <v>4514900.62</v>
      </c>
      <c r="M28" s="39">
        <f>53615920.44-610182.85</f>
        <v>53005737.589999996</v>
      </c>
      <c r="N28" s="39">
        <v>67461040</v>
      </c>
      <c r="O28" s="43">
        <f t="shared" si="1"/>
        <v>189319492.74000001</v>
      </c>
    </row>
    <row r="29" spans="1:15" ht="15.75" thickBot="1">
      <c r="A29" s="25">
        <v>2001</v>
      </c>
      <c r="B29" s="28" t="s">
        <v>13</v>
      </c>
      <c r="C29" s="38">
        <v>17578475.579999998</v>
      </c>
      <c r="D29" s="39">
        <v>9623048.4800000004</v>
      </c>
      <c r="E29" s="39">
        <v>7294835.8399999999</v>
      </c>
      <c r="F29" s="39">
        <f>53322486.82+1288902.71</f>
        <v>54611389.530000001</v>
      </c>
      <c r="G29" s="39">
        <v>61819804.170000002</v>
      </c>
      <c r="H29" s="40">
        <f t="shared" si="3"/>
        <v>150927553.60000002</v>
      </c>
      <c r="I29" s="41">
        <v>10637390.5</v>
      </c>
      <c r="J29" s="42">
        <v>39251996.149999999</v>
      </c>
      <c r="K29" s="39">
        <v>7485435.5499999998</v>
      </c>
      <c r="L29" s="39">
        <v>354244.94</v>
      </c>
      <c r="M29" s="39">
        <f>56079535.49+456996.92</f>
        <v>56536532.410000004</v>
      </c>
      <c r="N29" s="39">
        <v>77460197.890000001</v>
      </c>
      <c r="O29" s="43">
        <f t="shared" si="1"/>
        <v>191725797.44</v>
      </c>
    </row>
    <row r="30" spans="1:15" s="3" customFormat="1" ht="16.5" thickTop="1" thickBot="1">
      <c r="A30" s="33">
        <v>2001</v>
      </c>
      <c r="B30" s="34" t="s">
        <v>14</v>
      </c>
      <c r="C30" s="45">
        <f t="shared" ref="C30:I30" si="4">SUM(C18:C29)</f>
        <v>278677973.78000003</v>
      </c>
      <c r="D30" s="46">
        <f t="shared" si="4"/>
        <v>119468052.91</v>
      </c>
      <c r="E30" s="46">
        <f t="shared" si="4"/>
        <v>238500540.84999996</v>
      </c>
      <c r="F30" s="46">
        <f t="shared" si="4"/>
        <v>650741023.57999992</v>
      </c>
      <c r="G30" s="46">
        <f t="shared" si="4"/>
        <v>934578297.66999996</v>
      </c>
      <c r="H30" s="47">
        <f t="shared" si="4"/>
        <v>2221965888.79</v>
      </c>
      <c r="I30" s="48">
        <f t="shared" si="4"/>
        <v>139250342.21000001</v>
      </c>
      <c r="J30" s="49">
        <v>505514274.4799999</v>
      </c>
      <c r="K30" s="46">
        <f>SUM(K18:K29)</f>
        <v>99737358.850000024</v>
      </c>
      <c r="L30" s="46">
        <f>SUM(L18:L29)</f>
        <v>76846011.689999998</v>
      </c>
      <c r="M30" s="46">
        <f>SUM(M18:M29)</f>
        <v>661230909.59000003</v>
      </c>
      <c r="N30" s="46">
        <f>SUM(N18:N29)</f>
        <v>915964393.33000004</v>
      </c>
      <c r="O30" s="50">
        <f t="shared" si="1"/>
        <v>2398543290.1500001</v>
      </c>
    </row>
    <row r="31" spans="1:15" ht="15.75" thickTop="1">
      <c r="A31" s="25">
        <v>2002</v>
      </c>
      <c r="B31" s="28" t="s">
        <v>2</v>
      </c>
      <c r="C31" s="38">
        <v>18002940.010000002</v>
      </c>
      <c r="D31" s="39">
        <v>7037426.8300000001</v>
      </c>
      <c r="E31" s="39">
        <v>12954985.67</v>
      </c>
      <c r="F31" s="39">
        <f>56502196.56-1236240.41</f>
        <v>55265956.150000006</v>
      </c>
      <c r="G31" s="39">
        <v>65921566.68</v>
      </c>
      <c r="H31" s="40">
        <f t="shared" ref="H31:H42" si="5">SUM(C31:G31)</f>
        <v>159182875.34</v>
      </c>
      <c r="I31" s="41">
        <v>11016048.359999999</v>
      </c>
      <c r="J31" s="42">
        <v>40674248.5</v>
      </c>
      <c r="K31" s="39">
        <v>7239300.9500000002</v>
      </c>
      <c r="L31" s="39">
        <v>5865056.2699999996</v>
      </c>
      <c r="M31" s="39">
        <f>51121738.95-554420.22</f>
        <v>50567318.730000004</v>
      </c>
      <c r="N31" s="39">
        <v>81994915.049999997</v>
      </c>
      <c r="O31" s="43">
        <f t="shared" si="1"/>
        <v>197356887.86000001</v>
      </c>
    </row>
    <row r="32" spans="1:15">
      <c r="A32" s="25">
        <v>2002</v>
      </c>
      <c r="B32" s="28" t="s">
        <v>3</v>
      </c>
      <c r="C32" s="38">
        <v>17228366.190000001</v>
      </c>
      <c r="D32" s="39">
        <v>6267457.5599999996</v>
      </c>
      <c r="E32" s="39">
        <v>12293246.970000001</v>
      </c>
      <c r="F32" s="39">
        <f>47263586.97-377141.76</f>
        <v>46886445.210000001</v>
      </c>
      <c r="G32" s="39">
        <v>53268136.579999998</v>
      </c>
      <c r="H32" s="40">
        <f t="shared" si="5"/>
        <v>135943652.50999999</v>
      </c>
      <c r="I32" s="41">
        <v>9956013.0099999998</v>
      </c>
      <c r="J32" s="42">
        <v>36640048.200000003</v>
      </c>
      <c r="K32" s="39">
        <v>6843010.8899999997</v>
      </c>
      <c r="L32" s="39">
        <v>5934348.5599999996</v>
      </c>
      <c r="M32" s="39">
        <f>46809236.51+184683.6</f>
        <v>46993920.109999999</v>
      </c>
      <c r="N32" s="39">
        <v>68517518.280000001</v>
      </c>
      <c r="O32" s="43">
        <f t="shared" si="1"/>
        <v>174884859.05000001</v>
      </c>
    </row>
    <row r="33" spans="1:15">
      <c r="A33" s="25">
        <v>2002</v>
      </c>
      <c r="B33" s="28" t="s">
        <v>4</v>
      </c>
      <c r="C33" s="38">
        <v>17317177.219999999</v>
      </c>
      <c r="D33" s="39">
        <v>7149180.21</v>
      </c>
      <c r="E33" s="39">
        <v>14221497.07</v>
      </c>
      <c r="F33" s="39">
        <f>51046728.02+1625509.87</f>
        <v>52672237.890000001</v>
      </c>
      <c r="G33" s="39">
        <v>58536848.439999998</v>
      </c>
      <c r="H33" s="40">
        <f t="shared" si="5"/>
        <v>149896940.82999998</v>
      </c>
      <c r="I33" s="41">
        <v>10692034.039999999</v>
      </c>
      <c r="J33" s="42">
        <v>39337036.259999998</v>
      </c>
      <c r="K33" s="39">
        <v>7526590.7699999996</v>
      </c>
      <c r="L33" s="39">
        <v>7103832.4299999997</v>
      </c>
      <c r="M33" s="39">
        <f>56277424.47+1069777.11</f>
        <v>57347201.579999998</v>
      </c>
      <c r="N33" s="39">
        <v>73311844.170000002</v>
      </c>
      <c r="O33" s="43">
        <f t="shared" si="1"/>
        <v>195318539.25</v>
      </c>
    </row>
    <row r="34" spans="1:15">
      <c r="A34" s="25">
        <v>2002</v>
      </c>
      <c r="B34" s="28" t="s">
        <v>5</v>
      </c>
      <c r="C34" s="38">
        <v>17018044.949999999</v>
      </c>
      <c r="D34" s="39">
        <v>6686663.2300000004</v>
      </c>
      <c r="E34" s="39">
        <v>13571205.359999999</v>
      </c>
      <c r="F34" s="39">
        <v>47246572.939999998</v>
      </c>
      <c r="G34" s="39">
        <v>53661826.390000001</v>
      </c>
      <c r="H34" s="40">
        <f t="shared" si="5"/>
        <v>138184312.87</v>
      </c>
      <c r="I34" s="41">
        <v>10589663.609999999</v>
      </c>
      <c r="J34" s="42">
        <v>38873368.880000003</v>
      </c>
      <c r="K34" s="39">
        <v>6797228.25</v>
      </c>
      <c r="L34" s="39">
        <v>7349762.3700000001</v>
      </c>
      <c r="M34" s="39">
        <v>55885935.880000003</v>
      </c>
      <c r="N34" s="39">
        <v>80198873.010000005</v>
      </c>
      <c r="O34" s="43">
        <f t="shared" si="1"/>
        <v>199694832</v>
      </c>
    </row>
    <row r="35" spans="1:15">
      <c r="A35" s="25">
        <v>2002</v>
      </c>
      <c r="B35" s="28" t="s">
        <v>6</v>
      </c>
      <c r="C35" s="38">
        <v>16955897.579999998</v>
      </c>
      <c r="D35" s="39">
        <v>7563586</v>
      </c>
      <c r="E35" s="39">
        <v>13249179.189999999</v>
      </c>
      <c r="F35" s="39">
        <f>43171452.11-1556843.45</f>
        <v>41614608.659999996</v>
      </c>
      <c r="G35" s="39">
        <v>50368313.030000001</v>
      </c>
      <c r="H35" s="40">
        <f t="shared" si="5"/>
        <v>129751584.45999999</v>
      </c>
      <c r="I35" s="41">
        <v>10965585.140000001</v>
      </c>
      <c r="J35" s="42">
        <v>40313948.789999999</v>
      </c>
      <c r="K35" s="39">
        <v>7061326.1399999997</v>
      </c>
      <c r="L35" s="39">
        <v>7275701.7999999998</v>
      </c>
      <c r="M35" s="39">
        <f>59757035.03-408628.7</f>
        <v>59348406.329999998</v>
      </c>
      <c r="N35" s="39">
        <v>85334254.540000007</v>
      </c>
      <c r="O35" s="43">
        <f t="shared" si="1"/>
        <v>210299222.74000001</v>
      </c>
    </row>
    <row r="36" spans="1:15">
      <c r="A36" s="25">
        <v>2002</v>
      </c>
      <c r="B36" s="28" t="s">
        <v>7</v>
      </c>
      <c r="C36" s="38">
        <v>13568495.890000001</v>
      </c>
      <c r="D36" s="39">
        <v>6153917.04</v>
      </c>
      <c r="E36" s="39">
        <v>11692318.24</v>
      </c>
      <c r="F36" s="39">
        <f>37567761.52+919377.59</f>
        <v>38487139.110000007</v>
      </c>
      <c r="G36" s="39">
        <v>47449037.579999998</v>
      </c>
      <c r="H36" s="40">
        <f t="shared" si="5"/>
        <v>117350907.86</v>
      </c>
      <c r="I36" s="41">
        <v>9882663.6600000001</v>
      </c>
      <c r="J36" s="42">
        <v>36188787.150000006</v>
      </c>
      <c r="K36" s="39">
        <v>6850801.9100000001</v>
      </c>
      <c r="L36" s="39">
        <v>7171075.7999999998</v>
      </c>
      <c r="M36" s="39">
        <f>57373912.13+827301.04</f>
        <v>58201213.170000002</v>
      </c>
      <c r="N36" s="39">
        <v>75683941.349999994</v>
      </c>
      <c r="O36" s="43">
        <f t="shared" si="1"/>
        <v>193978483.03999999</v>
      </c>
    </row>
    <row r="37" spans="1:15">
      <c r="A37" s="25">
        <v>2002</v>
      </c>
      <c r="B37" s="28" t="s">
        <v>8</v>
      </c>
      <c r="C37" s="38">
        <v>14875564.060000001</v>
      </c>
      <c r="D37" s="39">
        <v>6362579.1900000004</v>
      </c>
      <c r="E37" s="39">
        <v>10970521.48</v>
      </c>
      <c r="F37" s="39">
        <f>36804496.09-911053.61</f>
        <v>35893442.480000004</v>
      </c>
      <c r="G37" s="39">
        <v>47448003</v>
      </c>
      <c r="H37" s="40">
        <f t="shared" si="5"/>
        <v>115550110.21000001</v>
      </c>
      <c r="I37" s="41">
        <v>10520412.050000001</v>
      </c>
      <c r="J37" s="42">
        <v>38284083.400000006</v>
      </c>
      <c r="K37" s="39">
        <v>7472149.79</v>
      </c>
      <c r="L37" s="39">
        <v>6669531.6399999997</v>
      </c>
      <c r="M37" s="39">
        <f>54829202.46-783130.53</f>
        <v>54046071.93</v>
      </c>
      <c r="N37" s="39">
        <v>69343303.180000007</v>
      </c>
      <c r="O37" s="43">
        <f t="shared" ref="O37:O68" si="6">SUM(I37:N37)</f>
        <v>186335551.99000001</v>
      </c>
    </row>
    <row r="38" spans="1:15">
      <c r="A38" s="25">
        <v>2002</v>
      </c>
      <c r="B38" s="28" t="s">
        <v>9</v>
      </c>
      <c r="C38" s="38">
        <v>14217837.42</v>
      </c>
      <c r="D38" s="39">
        <v>5586642.2199999997</v>
      </c>
      <c r="E38" s="39">
        <v>9929729.4100000001</v>
      </c>
      <c r="F38" s="39">
        <f>34030713.76+496745.47</f>
        <v>34527459.229999997</v>
      </c>
      <c r="G38" s="39">
        <v>47846574.310000002</v>
      </c>
      <c r="H38" s="40">
        <f t="shared" si="5"/>
        <v>112108242.59</v>
      </c>
      <c r="I38" s="41">
        <v>10626673.279999999</v>
      </c>
      <c r="J38" s="42">
        <v>38753284.68</v>
      </c>
      <c r="K38" s="39">
        <v>6963131.25</v>
      </c>
      <c r="L38" s="39">
        <v>6605519.9199999999</v>
      </c>
      <c r="M38" s="39">
        <f>53664151.51-198078.32</f>
        <v>53466073.189999998</v>
      </c>
      <c r="N38" s="39">
        <v>83288986.879999995</v>
      </c>
      <c r="O38" s="43">
        <f t="shared" si="6"/>
        <v>199703669.19999999</v>
      </c>
    </row>
    <row r="39" spans="1:15">
      <c r="A39" s="25">
        <v>2002</v>
      </c>
      <c r="B39" s="28" t="s">
        <v>10</v>
      </c>
      <c r="C39" s="38">
        <v>14059859.02</v>
      </c>
      <c r="D39" s="39">
        <v>5518682.3799999999</v>
      </c>
      <c r="E39" s="39">
        <v>8957499.1999999993</v>
      </c>
      <c r="F39" s="39">
        <f>30430814.54-857205.27</f>
        <v>29573609.27</v>
      </c>
      <c r="G39" s="39">
        <v>45504850.869999997</v>
      </c>
      <c r="H39" s="40">
        <f t="shared" si="5"/>
        <v>103614500.73999999</v>
      </c>
      <c r="I39" s="41">
        <v>10715256.43</v>
      </c>
      <c r="J39" s="42">
        <v>39365876.009999998</v>
      </c>
      <c r="K39" s="39">
        <v>7788887.4100000001</v>
      </c>
      <c r="L39" s="39">
        <v>5984176.7400000002</v>
      </c>
      <c r="M39" s="39">
        <f>47325386.1-414059.46</f>
        <v>46911326.640000001</v>
      </c>
      <c r="N39" s="39">
        <v>84890033.129999995</v>
      </c>
      <c r="O39" s="43">
        <f t="shared" si="6"/>
        <v>195655556.35999998</v>
      </c>
    </row>
    <row r="40" spans="1:15">
      <c r="A40" s="25">
        <v>2002</v>
      </c>
      <c r="B40" s="28" t="s">
        <v>11</v>
      </c>
      <c r="C40" s="38">
        <v>13362538.5</v>
      </c>
      <c r="D40" s="39">
        <v>6287238.1799999997</v>
      </c>
      <c r="E40" s="39">
        <v>8398291.1899999995</v>
      </c>
      <c r="F40" s="39">
        <f>35263682.67+513806.98</f>
        <v>35777489.649999999</v>
      </c>
      <c r="G40" s="39">
        <v>48843463.140000001</v>
      </c>
      <c r="H40" s="40">
        <f t="shared" si="5"/>
        <v>112669020.66</v>
      </c>
      <c r="I40" s="41">
        <v>11191721.17</v>
      </c>
      <c r="J40" s="42">
        <v>41073303.609999999</v>
      </c>
      <c r="K40" s="39">
        <v>8025509.3600000003</v>
      </c>
      <c r="L40" s="39">
        <v>5345049.28</v>
      </c>
      <c r="M40" s="39">
        <f>50748540.28+411887.95</f>
        <v>51160428.230000004</v>
      </c>
      <c r="N40" s="39">
        <v>88067252.239999995</v>
      </c>
      <c r="O40" s="43">
        <f t="shared" si="6"/>
        <v>204863263.88999999</v>
      </c>
    </row>
    <row r="41" spans="1:15">
      <c r="A41" s="25">
        <v>2002</v>
      </c>
      <c r="B41" s="28" t="s">
        <v>12</v>
      </c>
      <c r="C41" s="38">
        <v>13331059.720000001</v>
      </c>
      <c r="D41" s="39">
        <v>7145101.1900000004</v>
      </c>
      <c r="E41" s="39">
        <v>7013107.1500000004</v>
      </c>
      <c r="F41" s="39">
        <f>34763993.32+280133.85</f>
        <v>35044127.170000002</v>
      </c>
      <c r="G41" s="39">
        <v>51097908.280000001</v>
      </c>
      <c r="H41" s="40">
        <f t="shared" si="5"/>
        <v>113631303.51000001</v>
      </c>
      <c r="I41" s="41">
        <v>11849128.880000001</v>
      </c>
      <c r="J41" s="42">
        <v>43365928.18</v>
      </c>
      <c r="K41" s="39">
        <v>7652580.4800000004</v>
      </c>
      <c r="L41" s="39">
        <v>4540792.79</v>
      </c>
      <c r="M41" s="39">
        <f>47484797.01+529057.45</f>
        <v>48013854.460000001</v>
      </c>
      <c r="N41" s="39">
        <v>70220782.950000003</v>
      </c>
      <c r="O41" s="43">
        <f t="shared" si="6"/>
        <v>185643067.74000001</v>
      </c>
    </row>
    <row r="42" spans="1:15" ht="15.75" thickBot="1">
      <c r="A42" s="26">
        <v>2002</v>
      </c>
      <c r="B42" s="29" t="s">
        <v>13</v>
      </c>
      <c r="C42" s="51">
        <v>14109537.550000001</v>
      </c>
      <c r="D42" s="52">
        <v>7329788.25</v>
      </c>
      <c r="E42" s="52">
        <v>6672713.3099999996</v>
      </c>
      <c r="F42" s="52">
        <f>43717798.43+1169233.36</f>
        <v>44887031.789999999</v>
      </c>
      <c r="G42" s="52">
        <v>55414450.890000001</v>
      </c>
      <c r="H42" s="53">
        <f t="shared" si="5"/>
        <v>128413521.79000001</v>
      </c>
      <c r="I42" s="54">
        <v>10780637.65</v>
      </c>
      <c r="J42" s="55">
        <v>39483284.030000001</v>
      </c>
      <c r="K42" s="52">
        <v>8044142.4299999997</v>
      </c>
      <c r="L42" s="52">
        <v>3944322.81</v>
      </c>
      <c r="M42" s="52">
        <f>51555719.32-441633.07</f>
        <v>51114086.25</v>
      </c>
      <c r="N42" s="52">
        <v>72618678.739999995</v>
      </c>
      <c r="O42" s="56">
        <f t="shared" si="6"/>
        <v>185985151.91</v>
      </c>
    </row>
    <row r="43" spans="1:15" s="3" customFormat="1" ht="16.5" thickTop="1" thickBot="1">
      <c r="A43" s="31">
        <v>2002</v>
      </c>
      <c r="B43" s="32" t="s">
        <v>14</v>
      </c>
      <c r="C43" s="57">
        <f t="shared" ref="C43:I43" si="7">SUM(C31:C42)</f>
        <v>184047318.11000001</v>
      </c>
      <c r="D43" s="58">
        <f t="shared" si="7"/>
        <v>79088262.280000001</v>
      </c>
      <c r="E43" s="58">
        <f t="shared" si="7"/>
        <v>129924294.24000001</v>
      </c>
      <c r="F43" s="58">
        <f t="shared" si="7"/>
        <v>497876119.55000001</v>
      </c>
      <c r="G43" s="58">
        <f t="shared" si="7"/>
        <v>625360979.18999994</v>
      </c>
      <c r="H43" s="59">
        <f t="shared" si="7"/>
        <v>1516296973.3700001</v>
      </c>
      <c r="I43" s="60">
        <f t="shared" si="7"/>
        <v>128785837.27999999</v>
      </c>
      <c r="J43" s="61">
        <v>472353197.68999994</v>
      </c>
      <c r="K43" s="58">
        <f>SUM(K31:K42)</f>
        <v>88264659.629999995</v>
      </c>
      <c r="L43" s="58">
        <f>SUM(L31:L42)</f>
        <v>73789170.410000011</v>
      </c>
      <c r="M43" s="58">
        <f>SUM(M31:M42)</f>
        <v>633055836.5</v>
      </c>
      <c r="N43" s="58">
        <f>SUM(N31:N42)</f>
        <v>933470383.5200001</v>
      </c>
      <c r="O43" s="62">
        <f t="shared" si="6"/>
        <v>2329719085.0299997</v>
      </c>
    </row>
    <row r="44" spans="1:15" ht="15.75" thickTop="1">
      <c r="A44" s="25">
        <v>2003</v>
      </c>
      <c r="B44" s="28" t="s">
        <v>2</v>
      </c>
      <c r="C44" s="38">
        <v>15453592.98</v>
      </c>
      <c r="D44" s="39">
        <v>6083609.2300000004</v>
      </c>
      <c r="E44" s="39">
        <v>9548602.0600000005</v>
      </c>
      <c r="F44" s="39">
        <f>45431423.85-1014370.39</f>
        <v>44417053.460000001</v>
      </c>
      <c r="G44" s="39">
        <v>53545254.109999999</v>
      </c>
      <c r="H44" s="40">
        <f t="shared" ref="H44:H55" si="8">SUM(C44:G44)</f>
        <v>129048111.84</v>
      </c>
      <c r="I44" s="41">
        <v>10976038.779999999</v>
      </c>
      <c r="J44" s="42">
        <v>40219949.890000001</v>
      </c>
      <c r="K44" s="39">
        <v>8013806.9000000004</v>
      </c>
      <c r="L44" s="39">
        <v>5757963.3499999996</v>
      </c>
      <c r="M44" s="39">
        <f>48510714.65-321292.5</f>
        <v>48189422.149999999</v>
      </c>
      <c r="N44" s="39">
        <v>74207916.359999999</v>
      </c>
      <c r="O44" s="43">
        <f t="shared" si="6"/>
        <v>187365097.43000001</v>
      </c>
    </row>
    <row r="45" spans="1:15">
      <c r="A45" s="25">
        <v>2003</v>
      </c>
      <c r="B45" s="28" t="s">
        <v>3</v>
      </c>
      <c r="C45" s="38">
        <v>14095911.75</v>
      </c>
      <c r="D45" s="39">
        <v>5810007.1799999997</v>
      </c>
      <c r="E45" s="39">
        <v>9534217.2799999993</v>
      </c>
      <c r="F45" s="39">
        <f>38723157.65+468488.02</f>
        <v>39191645.670000002</v>
      </c>
      <c r="G45" s="39">
        <v>45847085.719999999</v>
      </c>
      <c r="H45" s="40">
        <f t="shared" si="8"/>
        <v>114478867.59999999</v>
      </c>
      <c r="I45" s="41">
        <v>9082147.9000000004</v>
      </c>
      <c r="J45" s="42">
        <v>33270478.530000001</v>
      </c>
      <c r="K45" s="39">
        <v>6917611.2699999996</v>
      </c>
      <c r="L45" s="39">
        <v>5188760.12</v>
      </c>
      <c r="M45" s="39">
        <f>44542783.6-48023.68</f>
        <v>44494759.920000002</v>
      </c>
      <c r="N45" s="39">
        <v>68524217.760000005</v>
      </c>
      <c r="O45" s="43">
        <f t="shared" si="6"/>
        <v>167477975.5</v>
      </c>
    </row>
    <row r="46" spans="1:15">
      <c r="A46" s="25">
        <v>2003</v>
      </c>
      <c r="B46" s="28" t="s">
        <v>4</v>
      </c>
      <c r="C46" s="38">
        <v>14689650.220000001</v>
      </c>
      <c r="D46" s="39">
        <v>6442495.2400000002</v>
      </c>
      <c r="E46" s="39">
        <v>10209923.76</v>
      </c>
      <c r="F46" s="39">
        <f>43893246.7-1443473.05</f>
        <v>42449773.650000006</v>
      </c>
      <c r="G46" s="39">
        <v>53662170.799999997</v>
      </c>
      <c r="H46" s="40">
        <f t="shared" si="8"/>
        <v>127454013.67</v>
      </c>
      <c r="I46" s="41">
        <v>10193155.42</v>
      </c>
      <c r="J46" s="42">
        <v>37431365.399999999</v>
      </c>
      <c r="K46" s="39">
        <v>7245684.8300000001</v>
      </c>
      <c r="L46" s="39">
        <v>5538139.2800000003</v>
      </c>
      <c r="M46" s="39">
        <f>49837533.97-522786.71</f>
        <v>49314747.259999998</v>
      </c>
      <c r="N46" s="39">
        <v>67798146.950000003</v>
      </c>
      <c r="O46" s="43">
        <f t="shared" si="6"/>
        <v>177521239.13999999</v>
      </c>
    </row>
    <row r="47" spans="1:15">
      <c r="A47" s="25">
        <v>2003</v>
      </c>
      <c r="B47" s="28" t="s">
        <v>5</v>
      </c>
      <c r="C47" s="38">
        <v>14461557.75</v>
      </c>
      <c r="D47" s="39">
        <v>6274043.4900000002</v>
      </c>
      <c r="E47" s="39">
        <v>11073729.59</v>
      </c>
      <c r="F47" s="39">
        <f>42380680.83-1385670.68</f>
        <v>40995010.149999999</v>
      </c>
      <c r="G47" s="39">
        <v>51614713.57</v>
      </c>
      <c r="H47" s="40">
        <f t="shared" si="8"/>
        <v>124419054.55000001</v>
      </c>
      <c r="I47" s="41">
        <v>9416365.3699999992</v>
      </c>
      <c r="J47" s="42">
        <v>21867513.340000004</v>
      </c>
      <c r="K47" s="39">
        <v>10828594.470000001</v>
      </c>
      <c r="L47" s="39">
        <v>5628520.8200000003</v>
      </c>
      <c r="M47" s="39">
        <f>50864576.67-302175.33</f>
        <v>50562401.340000004</v>
      </c>
      <c r="N47" s="39">
        <v>71935684.230000004</v>
      </c>
      <c r="O47" s="43">
        <f t="shared" si="6"/>
        <v>170239079.56999999</v>
      </c>
    </row>
    <row r="48" spans="1:15">
      <c r="A48" s="25">
        <v>2003</v>
      </c>
      <c r="B48" s="28" t="s">
        <v>6</v>
      </c>
      <c r="C48" s="38">
        <v>15044848.99</v>
      </c>
      <c r="D48" s="39">
        <v>6129682.1100000003</v>
      </c>
      <c r="E48" s="39">
        <v>11081893.470000001</v>
      </c>
      <c r="F48" s="39">
        <f>39650044.23-107169.16</f>
        <v>39542875.07</v>
      </c>
      <c r="G48" s="39">
        <v>54019806.579999998</v>
      </c>
      <c r="H48" s="40">
        <f t="shared" si="8"/>
        <v>125819106.22</v>
      </c>
      <c r="I48" s="41">
        <v>9653582.6699999999</v>
      </c>
      <c r="J48" s="42">
        <v>35335815.149999999</v>
      </c>
      <c r="K48" s="39">
        <v>6748187.6600000001</v>
      </c>
      <c r="L48" s="39">
        <v>5562823.4299999997</v>
      </c>
      <c r="M48" s="39">
        <f>49403714.45+329264.06</f>
        <v>49732978.510000005</v>
      </c>
      <c r="N48" s="39">
        <v>76067218.439999998</v>
      </c>
      <c r="O48" s="43">
        <f t="shared" si="6"/>
        <v>183100605.86000001</v>
      </c>
    </row>
    <row r="49" spans="1:15">
      <c r="A49" s="25">
        <v>2003</v>
      </c>
      <c r="B49" s="28" t="s">
        <v>7</v>
      </c>
      <c r="C49" s="38">
        <v>14591730.869999999</v>
      </c>
      <c r="D49" s="39">
        <v>6201082.4299999997</v>
      </c>
      <c r="E49" s="39">
        <v>12872812.98</v>
      </c>
      <c r="F49" s="39">
        <f>31471916.61-127916.61</f>
        <v>31344000</v>
      </c>
      <c r="G49" s="39">
        <v>55527703.109999999</v>
      </c>
      <c r="H49" s="40">
        <f t="shared" si="8"/>
        <v>120537329.39</v>
      </c>
      <c r="I49" s="41">
        <v>9264638.1999999993</v>
      </c>
      <c r="J49" s="42">
        <v>33817265.890000001</v>
      </c>
      <c r="K49" s="39">
        <v>6706523.4199999999</v>
      </c>
      <c r="L49" s="39">
        <v>6237641.3200000003</v>
      </c>
      <c r="M49" s="39">
        <f>44118349.06-410217.33</f>
        <v>43708131.730000004</v>
      </c>
      <c r="N49" s="39">
        <v>78344422</v>
      </c>
      <c r="O49" s="43">
        <f t="shared" si="6"/>
        <v>178078622.56</v>
      </c>
    </row>
    <row r="50" spans="1:15">
      <c r="A50" s="25">
        <v>2003</v>
      </c>
      <c r="B50" s="28" t="s">
        <v>8</v>
      </c>
      <c r="C50" s="38">
        <v>15114075.76</v>
      </c>
      <c r="D50" s="39">
        <v>6707664.8099999996</v>
      </c>
      <c r="E50" s="39">
        <v>15171170.470000001</v>
      </c>
      <c r="F50" s="39">
        <f>31524045.52-1104428.35</f>
        <v>30419617.169999998</v>
      </c>
      <c r="G50" s="39">
        <v>58593456.509999998</v>
      </c>
      <c r="H50" s="40">
        <f t="shared" si="8"/>
        <v>126005984.72</v>
      </c>
      <c r="I50" s="41">
        <v>9280511.5999999996</v>
      </c>
      <c r="J50" s="42">
        <v>21052935.82</v>
      </c>
      <c r="K50" s="39">
        <v>12384910.34</v>
      </c>
      <c r="L50" s="39">
        <v>6067361.29</v>
      </c>
      <c r="M50" s="39">
        <f>41277927.56-755913.73</f>
        <v>40522013.830000006</v>
      </c>
      <c r="N50" s="39">
        <v>116415866.18000001</v>
      </c>
      <c r="O50" s="43">
        <f t="shared" si="6"/>
        <v>205723599.06</v>
      </c>
    </row>
    <row r="51" spans="1:15">
      <c r="A51" s="25">
        <v>2003</v>
      </c>
      <c r="B51" s="28" t="s">
        <v>9</v>
      </c>
      <c r="C51" s="38">
        <v>15396321.43</v>
      </c>
      <c r="D51" s="39">
        <v>6929194.1200000001</v>
      </c>
      <c r="E51" s="39">
        <v>13548639.369999999</v>
      </c>
      <c r="F51" s="39">
        <f>31822869.45+1449174.85</f>
        <v>33272044.300000001</v>
      </c>
      <c r="G51" s="39">
        <v>58355585.899999999</v>
      </c>
      <c r="H51" s="40">
        <f t="shared" si="8"/>
        <v>127501785.12</v>
      </c>
      <c r="I51" s="41">
        <v>12494742.609999999</v>
      </c>
      <c r="J51" s="42">
        <v>44927887.82</v>
      </c>
      <c r="K51" s="39">
        <v>7485194.79</v>
      </c>
      <c r="L51" s="39">
        <v>5712068.3700000001</v>
      </c>
      <c r="M51" s="39">
        <f>42021475.54+577043.49</f>
        <v>42598519.030000001</v>
      </c>
      <c r="N51" s="39">
        <v>135883944.34</v>
      </c>
      <c r="O51" s="43">
        <f t="shared" si="6"/>
        <v>249102356.96000001</v>
      </c>
    </row>
    <row r="52" spans="1:15">
      <c r="A52" s="25">
        <v>2003</v>
      </c>
      <c r="B52" s="28" t="s">
        <v>10</v>
      </c>
      <c r="C52" s="38">
        <v>16634787.98</v>
      </c>
      <c r="D52" s="39">
        <v>6243961.1600000001</v>
      </c>
      <c r="E52" s="39">
        <v>12051399.67</v>
      </c>
      <c r="F52" s="39">
        <f>32557514.4-12344.18</f>
        <v>32545170.219999999</v>
      </c>
      <c r="G52" s="39">
        <v>55525082.399999999</v>
      </c>
      <c r="H52" s="40">
        <f t="shared" si="8"/>
        <v>123000401.43000001</v>
      </c>
      <c r="I52" s="41">
        <v>14638296.539999999</v>
      </c>
      <c r="J52" s="42">
        <v>52791583.460000001</v>
      </c>
      <c r="K52" s="39">
        <v>7459236.6500000004</v>
      </c>
      <c r="L52" s="39">
        <v>5374848.0599999996</v>
      </c>
      <c r="M52" s="39">
        <f>38211661.78+21654.48</f>
        <v>38233316.259999998</v>
      </c>
      <c r="N52" s="39">
        <v>132269682.97</v>
      </c>
      <c r="O52" s="43">
        <f t="shared" si="6"/>
        <v>250766963.94</v>
      </c>
    </row>
    <row r="53" spans="1:15">
      <c r="A53" s="25">
        <v>2003</v>
      </c>
      <c r="B53" s="28" t="s">
        <v>11</v>
      </c>
      <c r="C53" s="38">
        <v>16878837.960000001</v>
      </c>
      <c r="D53" s="39">
        <v>7479430.5700000003</v>
      </c>
      <c r="E53" s="39">
        <v>10791369.25</v>
      </c>
      <c r="F53" s="39">
        <f>38416323.94-901330.43</f>
        <v>37514993.509999998</v>
      </c>
      <c r="G53" s="39">
        <v>57359309.740000002</v>
      </c>
      <c r="H53" s="40">
        <f t="shared" si="8"/>
        <v>130023941.03</v>
      </c>
      <c r="I53" s="41">
        <v>16173857.890000001</v>
      </c>
      <c r="J53" s="42">
        <v>58694499.510000005</v>
      </c>
      <c r="K53" s="39">
        <v>7162232.9500000002</v>
      </c>
      <c r="L53" s="39">
        <v>5185849.74</v>
      </c>
      <c r="M53" s="39">
        <f>42305719.11-648361.38</f>
        <v>41657357.729999997</v>
      </c>
      <c r="N53" s="39">
        <v>133794473.03</v>
      </c>
      <c r="O53" s="43">
        <f t="shared" si="6"/>
        <v>262668270.84999999</v>
      </c>
    </row>
    <row r="54" spans="1:15">
      <c r="A54" s="25">
        <v>2003</v>
      </c>
      <c r="B54" s="28" t="s">
        <v>12</v>
      </c>
      <c r="C54" s="38">
        <v>15942279.59</v>
      </c>
      <c r="D54" s="39">
        <v>8637174.9199999999</v>
      </c>
      <c r="E54" s="39">
        <v>9212685.1799999997</v>
      </c>
      <c r="F54" s="39">
        <f>39179014.9+1409012.66</f>
        <v>40588027.559999995</v>
      </c>
      <c r="G54" s="39">
        <v>57653600.119999997</v>
      </c>
      <c r="H54" s="40">
        <f t="shared" si="8"/>
        <v>132033767.37</v>
      </c>
      <c r="I54" s="41">
        <v>14412223.76</v>
      </c>
      <c r="J54" s="42">
        <v>52346332.870000005</v>
      </c>
      <c r="K54" s="39">
        <v>7311656.6799999997</v>
      </c>
      <c r="L54" s="39">
        <v>4339385.34</v>
      </c>
      <c r="M54" s="39">
        <f>44977014.75+1084961.63</f>
        <v>46061976.380000003</v>
      </c>
      <c r="N54" s="39">
        <v>105613757.09</v>
      </c>
      <c r="O54" s="43">
        <f t="shared" si="6"/>
        <v>230085332.12</v>
      </c>
    </row>
    <row r="55" spans="1:15" ht="15.75" thickBot="1">
      <c r="A55" s="25">
        <v>2003</v>
      </c>
      <c r="B55" s="28" t="s">
        <v>13</v>
      </c>
      <c r="C55" s="38">
        <v>16879115.850000001</v>
      </c>
      <c r="D55" s="39">
        <v>8861613.8000000007</v>
      </c>
      <c r="E55" s="39">
        <v>7866772.9299999997</v>
      </c>
      <c r="F55" s="39">
        <f>49846174.24+536854.04</f>
        <v>50383028.280000001</v>
      </c>
      <c r="G55" s="39">
        <v>66588934.119999997</v>
      </c>
      <c r="H55" s="40">
        <f t="shared" si="8"/>
        <v>150579464.97999999</v>
      </c>
      <c r="I55" s="41">
        <v>13406835.65</v>
      </c>
      <c r="J55" s="42">
        <v>48693712.460000001</v>
      </c>
      <c r="K55" s="39">
        <v>6875925.7199999997</v>
      </c>
      <c r="L55" s="39">
        <v>3350845.82</v>
      </c>
      <c r="M55" s="39">
        <f>48768173.44-568068.48</f>
        <v>48200104.960000001</v>
      </c>
      <c r="N55" s="39">
        <v>95686716.239999995</v>
      </c>
      <c r="O55" s="43">
        <f t="shared" si="6"/>
        <v>216214140.84999996</v>
      </c>
    </row>
    <row r="56" spans="1:15" s="3" customFormat="1" ht="16.5" thickTop="1" thickBot="1">
      <c r="A56" s="33">
        <v>2003</v>
      </c>
      <c r="B56" s="34" t="s">
        <v>14</v>
      </c>
      <c r="C56" s="45">
        <f t="shared" ref="C56:I56" si="9">SUM(C44:C55)</f>
        <v>185182711.13</v>
      </c>
      <c r="D56" s="46">
        <f t="shared" si="9"/>
        <v>81799959.059999987</v>
      </c>
      <c r="E56" s="46">
        <f t="shared" si="9"/>
        <v>132963216.01000002</v>
      </c>
      <c r="F56" s="46">
        <f t="shared" si="9"/>
        <v>462663239.03999996</v>
      </c>
      <c r="G56" s="46">
        <f t="shared" si="9"/>
        <v>668292702.67999995</v>
      </c>
      <c r="H56" s="47">
        <f t="shared" si="9"/>
        <v>1530901827.9200001</v>
      </c>
      <c r="I56" s="48">
        <f t="shared" si="9"/>
        <v>138992396.39000002</v>
      </c>
      <c r="J56" s="49">
        <v>480449340.13999999</v>
      </c>
      <c r="K56" s="46">
        <f>SUM(K44:K55)</f>
        <v>95139565.680000007</v>
      </c>
      <c r="L56" s="46">
        <f>SUM(L44:L55)</f>
        <v>63944206.940000005</v>
      </c>
      <c r="M56" s="46">
        <f>SUM(M44:M55)</f>
        <v>543275729.10000002</v>
      </c>
      <c r="N56" s="46">
        <f>SUM(N44:N55)</f>
        <v>1156542045.5900002</v>
      </c>
      <c r="O56" s="50">
        <f t="shared" si="6"/>
        <v>2478343283.8400002</v>
      </c>
    </row>
    <row r="57" spans="1:15" ht="15.75" thickTop="1">
      <c r="A57" s="25">
        <v>2004</v>
      </c>
      <c r="B57" s="28" t="s">
        <v>2</v>
      </c>
      <c r="C57" s="38">
        <v>17852888.309999999</v>
      </c>
      <c r="D57" s="39">
        <v>6732860.7699999996</v>
      </c>
      <c r="E57" s="39">
        <v>10007406.6</v>
      </c>
      <c r="F57" s="39">
        <f>55189064.37-654351.33</f>
        <v>54534713.039999999</v>
      </c>
      <c r="G57" s="39">
        <v>72357059.069999993</v>
      </c>
      <c r="H57" s="40">
        <f t="shared" ref="H57:H68" si="10">SUM(C57:G57)</f>
        <v>161484927.78999999</v>
      </c>
      <c r="I57" s="41">
        <v>11623218.77</v>
      </c>
      <c r="J57" s="42">
        <v>31019967.989999998</v>
      </c>
      <c r="K57" s="39">
        <v>6901790.3600000003</v>
      </c>
      <c r="L57" s="39">
        <v>4441163.3</v>
      </c>
      <c r="M57" s="39">
        <f>46573848.1+457326.53</f>
        <v>47031174.630000003</v>
      </c>
      <c r="N57" s="39">
        <v>84992409.670000002</v>
      </c>
      <c r="O57" s="43">
        <f t="shared" si="6"/>
        <v>186009724.72</v>
      </c>
    </row>
    <row r="58" spans="1:15">
      <c r="A58" s="25">
        <v>2004</v>
      </c>
      <c r="B58" s="28" t="s">
        <v>3</v>
      </c>
      <c r="C58" s="38">
        <v>18001452.640000001</v>
      </c>
      <c r="D58" s="39">
        <v>8428180.75</v>
      </c>
      <c r="E58" s="39">
        <v>13226579.279999999</v>
      </c>
      <c r="F58" s="39">
        <f>61401504.87+1821717.35</f>
        <v>63223222.219999999</v>
      </c>
      <c r="G58" s="39">
        <v>81542714.230000004</v>
      </c>
      <c r="H58" s="40">
        <f t="shared" si="10"/>
        <v>184422149.12</v>
      </c>
      <c r="I58" s="41">
        <v>9910500.5700000003</v>
      </c>
      <c r="J58" s="42">
        <v>36316340.740000002</v>
      </c>
      <c r="K58" s="39">
        <v>6852508.1299999999</v>
      </c>
      <c r="L58" s="39">
        <v>4669406.57</v>
      </c>
      <c r="M58" s="39">
        <f>45661739.82-297787.85</f>
        <v>45363951.969999999</v>
      </c>
      <c r="N58" s="39">
        <v>71912496.849999994</v>
      </c>
      <c r="O58" s="43">
        <f t="shared" si="6"/>
        <v>175025204.82999998</v>
      </c>
    </row>
    <row r="59" spans="1:15">
      <c r="A59" s="25">
        <v>2004</v>
      </c>
      <c r="B59" s="28" t="s">
        <v>4</v>
      </c>
      <c r="C59" s="38">
        <v>23096205.890000001</v>
      </c>
      <c r="D59" s="39">
        <v>10628505.710000001</v>
      </c>
      <c r="E59" s="39">
        <v>23893442.859999999</v>
      </c>
      <c r="F59" s="39">
        <f>67278548.1-204286.11</f>
        <v>67074261.989999995</v>
      </c>
      <c r="G59" s="39">
        <v>115931358.23</v>
      </c>
      <c r="H59" s="40">
        <f t="shared" si="10"/>
        <v>240623774.68000001</v>
      </c>
      <c r="I59" s="41">
        <v>10066465.83</v>
      </c>
      <c r="J59" s="42">
        <v>36854674.609999999</v>
      </c>
      <c r="K59" s="39">
        <v>8021377.6399999997</v>
      </c>
      <c r="L59" s="39">
        <v>6194368.8799999999</v>
      </c>
      <c r="M59" s="39">
        <f>45846186.6-275812.82</f>
        <v>45570373.780000001</v>
      </c>
      <c r="N59" s="39">
        <v>105702713.94</v>
      </c>
      <c r="O59" s="43">
        <f t="shared" si="6"/>
        <v>212409974.68000001</v>
      </c>
    </row>
    <row r="60" spans="1:15">
      <c r="A60" s="25">
        <v>2004</v>
      </c>
      <c r="B60" s="28" t="s">
        <v>5</v>
      </c>
      <c r="C60" s="38">
        <v>25915322.550000001</v>
      </c>
      <c r="D60" s="39">
        <v>13270186.039999999</v>
      </c>
      <c r="E60" s="39">
        <v>26378278.129999999</v>
      </c>
      <c r="F60" s="39">
        <f>74512162.83+729405.38</f>
        <v>75241568.209999993</v>
      </c>
      <c r="G60" s="39">
        <v>113344157.68000001</v>
      </c>
      <c r="H60" s="40">
        <f t="shared" si="10"/>
        <v>254149512.61000001</v>
      </c>
      <c r="I60" s="41">
        <v>8647483.4000000004</v>
      </c>
      <c r="J60" s="42">
        <v>32015006.600000001</v>
      </c>
      <c r="K60" s="39">
        <v>6682611.7400000002</v>
      </c>
      <c r="L60" s="39">
        <v>6059007.04</v>
      </c>
      <c r="M60" s="39">
        <f>49739613.3-340513.39</f>
        <v>49399099.909999996</v>
      </c>
      <c r="N60" s="39">
        <v>154492409.41999999</v>
      </c>
      <c r="O60" s="43">
        <f t="shared" si="6"/>
        <v>257295618.10999998</v>
      </c>
    </row>
    <row r="61" spans="1:15">
      <c r="A61" s="25">
        <v>2004</v>
      </c>
      <c r="B61" s="28" t="s">
        <v>6</v>
      </c>
      <c r="C61" s="38">
        <v>22480173.420000002</v>
      </c>
      <c r="D61" s="39">
        <v>12653617.82</v>
      </c>
      <c r="E61" s="39">
        <v>26072298.300000001</v>
      </c>
      <c r="F61" s="39">
        <f>71296685.71+2831822.08</f>
        <v>74128507.789999992</v>
      </c>
      <c r="G61" s="39">
        <v>110710783.91</v>
      </c>
      <c r="H61" s="40">
        <f t="shared" si="10"/>
        <v>246045381.23999998</v>
      </c>
      <c r="I61" s="41">
        <v>12809259.92</v>
      </c>
      <c r="J61" s="42">
        <v>47559796.969999999</v>
      </c>
      <c r="K61" s="39">
        <v>6778645.4400000004</v>
      </c>
      <c r="L61" s="39">
        <v>6161428.5999999996</v>
      </c>
      <c r="M61" s="39">
        <f>52410168.64+1474106.77</f>
        <v>53884275.410000004</v>
      </c>
      <c r="N61" s="39">
        <v>159129330</v>
      </c>
      <c r="O61" s="43">
        <f t="shared" si="6"/>
        <v>286322736.34000003</v>
      </c>
    </row>
    <row r="62" spans="1:15">
      <c r="A62" s="25">
        <v>2004</v>
      </c>
      <c r="B62" s="28" t="s">
        <v>7</v>
      </c>
      <c r="C62" s="38">
        <v>23370155.059999999</v>
      </c>
      <c r="D62" s="39">
        <v>12848368.699999999</v>
      </c>
      <c r="E62" s="39">
        <v>20760290.52</v>
      </c>
      <c r="F62" s="39">
        <f>75818595.86-3000162.75</f>
        <v>72818433.109999999</v>
      </c>
      <c r="G62" s="39">
        <v>93370293.150000006</v>
      </c>
      <c r="H62" s="40">
        <f t="shared" si="10"/>
        <v>223167540.54000002</v>
      </c>
      <c r="I62" s="41">
        <v>13105605.4</v>
      </c>
      <c r="J62" s="42">
        <v>48213662.490000002</v>
      </c>
      <c r="K62" s="39">
        <v>6183739.5300000003</v>
      </c>
      <c r="L62" s="39">
        <v>5869519.25</v>
      </c>
      <c r="M62" s="39">
        <f>53091709.57-703184.32</f>
        <v>52388525.25</v>
      </c>
      <c r="N62" s="39">
        <v>122015876.3</v>
      </c>
      <c r="O62" s="43">
        <f t="shared" si="6"/>
        <v>247776928.22</v>
      </c>
    </row>
    <row r="63" spans="1:15">
      <c r="A63" s="25">
        <v>2004</v>
      </c>
      <c r="B63" s="28" t="s">
        <v>8</v>
      </c>
      <c r="C63" s="38">
        <v>21032142.07</v>
      </c>
      <c r="D63" s="39">
        <v>12610436.91</v>
      </c>
      <c r="E63" s="39">
        <v>18540866.440000001</v>
      </c>
      <c r="F63" s="39">
        <f>70275203.49-178187.02</f>
        <v>70097016.469999999</v>
      </c>
      <c r="G63" s="39">
        <v>87932675.659999996</v>
      </c>
      <c r="H63" s="40">
        <f t="shared" si="10"/>
        <v>210213137.55000001</v>
      </c>
      <c r="I63" s="41">
        <v>11042500.380000001</v>
      </c>
      <c r="J63" s="42">
        <v>40733319.960000001</v>
      </c>
      <c r="K63" s="39">
        <v>5973821.7000000002</v>
      </c>
      <c r="L63" s="39">
        <v>5496783.9800000004</v>
      </c>
      <c r="M63" s="39">
        <f>51957299.23+495812.01</f>
        <v>52453111.239999995</v>
      </c>
      <c r="N63" s="39">
        <v>83626242.920000002</v>
      </c>
      <c r="O63" s="43">
        <f t="shared" si="6"/>
        <v>199325780.18000001</v>
      </c>
    </row>
    <row r="64" spans="1:15">
      <c r="A64" s="25">
        <v>2004</v>
      </c>
      <c r="B64" s="28" t="s">
        <v>9</v>
      </c>
      <c r="C64" s="38">
        <v>22946741.829999998</v>
      </c>
      <c r="D64" s="39">
        <v>11606094.57</v>
      </c>
      <c r="E64" s="39">
        <v>16568524.210000001</v>
      </c>
      <c r="F64" s="39">
        <f>59467629.33-1509361.33</f>
        <v>57958268</v>
      </c>
      <c r="G64" s="39">
        <v>77064511.409999996</v>
      </c>
      <c r="H64" s="40">
        <f t="shared" si="10"/>
        <v>186144140.01999998</v>
      </c>
      <c r="I64" s="41">
        <v>8546472.2300000004</v>
      </c>
      <c r="J64" s="42">
        <v>32002999.050000001</v>
      </c>
      <c r="K64" s="39">
        <v>7473160.5700000003</v>
      </c>
      <c r="L64" s="39">
        <v>5886639.7599999998</v>
      </c>
      <c r="M64" s="39">
        <f>51044523-300355.4</f>
        <v>50744167.600000001</v>
      </c>
      <c r="N64" s="39">
        <v>112519532.66</v>
      </c>
      <c r="O64" s="43">
        <f t="shared" si="6"/>
        <v>217172971.87</v>
      </c>
    </row>
    <row r="65" spans="1:15">
      <c r="A65" s="25">
        <v>2004</v>
      </c>
      <c r="B65" s="28" t="s">
        <v>10</v>
      </c>
      <c r="C65" s="38">
        <v>18965866.399999999</v>
      </c>
      <c r="D65" s="39">
        <v>10812430.630000001</v>
      </c>
      <c r="E65" s="39">
        <v>15725555.460000001</v>
      </c>
      <c r="F65" s="39">
        <f>64972071.91+359008.19</f>
        <v>65331080.099999994</v>
      </c>
      <c r="G65" s="39">
        <v>86603703.650000006</v>
      </c>
      <c r="H65" s="40">
        <f t="shared" si="10"/>
        <v>197438636.24000001</v>
      </c>
      <c r="I65" s="41">
        <v>10359119.789999999</v>
      </c>
      <c r="J65" s="42">
        <v>38420617.93</v>
      </c>
      <c r="K65" s="39">
        <v>6628032.29</v>
      </c>
      <c r="L65" s="39">
        <v>5019365.63</v>
      </c>
      <c r="M65" s="39">
        <f>47446205.75-278267.7</f>
        <v>47167938.049999997</v>
      </c>
      <c r="N65" s="39">
        <v>102298753.23</v>
      </c>
      <c r="O65" s="43">
        <f t="shared" si="6"/>
        <v>209893826.92000002</v>
      </c>
    </row>
    <row r="66" spans="1:15">
      <c r="A66" s="25">
        <v>2004</v>
      </c>
      <c r="B66" s="28" t="s">
        <v>11</v>
      </c>
      <c r="C66" s="38">
        <v>20160961.629999999</v>
      </c>
      <c r="D66" s="39">
        <v>11353298.859999999</v>
      </c>
      <c r="E66" s="39">
        <v>13305293.529999999</v>
      </c>
      <c r="F66" s="39">
        <f>67459990.51+1126935.6</f>
        <v>68586926.109999999</v>
      </c>
      <c r="G66" s="39">
        <v>86528291.780000001</v>
      </c>
      <c r="H66" s="40">
        <f t="shared" si="10"/>
        <v>199934771.91</v>
      </c>
      <c r="I66" s="41">
        <v>10257828.6</v>
      </c>
      <c r="J66" s="42">
        <v>38166810.25</v>
      </c>
      <c r="K66" s="39">
        <v>7066778.2400000002</v>
      </c>
      <c r="L66" s="39">
        <v>4670004.2699999996</v>
      </c>
      <c r="M66" s="39">
        <f>51846001.69+650142.58</f>
        <v>52496144.269999996</v>
      </c>
      <c r="N66" s="39">
        <v>101875729.62</v>
      </c>
      <c r="O66" s="43">
        <f t="shared" si="6"/>
        <v>214533295.25</v>
      </c>
    </row>
    <row r="67" spans="1:15">
      <c r="A67" s="25">
        <v>2004</v>
      </c>
      <c r="B67" s="28" t="s">
        <v>12</v>
      </c>
      <c r="C67" s="38">
        <v>20046069.32</v>
      </c>
      <c r="D67" s="39">
        <v>15826351.57</v>
      </c>
      <c r="E67" s="39">
        <v>11746550.01</v>
      </c>
      <c r="F67" s="39">
        <f>68158422.54+342362.46</f>
        <v>68500785</v>
      </c>
      <c r="G67" s="39">
        <v>98297854.849999994</v>
      </c>
      <c r="H67" s="40">
        <f t="shared" si="10"/>
        <v>214417610.75</v>
      </c>
      <c r="I67" s="41">
        <v>9388986.0399999991</v>
      </c>
      <c r="J67" s="42">
        <v>34782954.359999999</v>
      </c>
      <c r="K67" s="39">
        <v>7677609.0899999999</v>
      </c>
      <c r="L67" s="39">
        <v>4226544.87</v>
      </c>
      <c r="M67" s="39">
        <f>47985609.88-234130.59</f>
        <v>47751479.289999999</v>
      </c>
      <c r="N67" s="39">
        <v>113534534.52</v>
      </c>
      <c r="O67" s="43">
        <f t="shared" si="6"/>
        <v>217362108.16999999</v>
      </c>
    </row>
    <row r="68" spans="1:15" ht="15.75" thickBot="1">
      <c r="A68" s="26">
        <v>2004</v>
      </c>
      <c r="B68" s="29" t="s">
        <v>13</v>
      </c>
      <c r="C68" s="51">
        <v>20073495.620000001</v>
      </c>
      <c r="D68" s="52">
        <v>13299176.380000001</v>
      </c>
      <c r="E68" s="52">
        <v>8890666.7699999996</v>
      </c>
      <c r="F68" s="52">
        <f>73824562.22-848930.01</f>
        <v>72975632.209999993</v>
      </c>
      <c r="G68" s="52">
        <v>123708815.72</v>
      </c>
      <c r="H68" s="53">
        <f t="shared" si="10"/>
        <v>238947786.69999999</v>
      </c>
      <c r="I68" s="54">
        <v>10134552.369999999</v>
      </c>
      <c r="J68" s="55">
        <v>37341927.100000001</v>
      </c>
      <c r="K68" s="52">
        <v>6844357.04</v>
      </c>
      <c r="L68" s="52">
        <v>3092349.56</v>
      </c>
      <c r="M68" s="52">
        <f>53420912.63-200809.19</f>
        <v>53220103.440000005</v>
      </c>
      <c r="N68" s="52">
        <v>123708815.72</v>
      </c>
      <c r="O68" s="56">
        <f t="shared" si="6"/>
        <v>234342105.23000002</v>
      </c>
    </row>
    <row r="69" spans="1:15" s="3" customFormat="1" ht="16.5" thickTop="1" thickBot="1">
      <c r="A69" s="31">
        <v>2004</v>
      </c>
      <c r="B69" s="32" t="s">
        <v>14</v>
      </c>
      <c r="C69" s="57">
        <f t="shared" ref="C69:I69" si="11">SUM(C57:C68)</f>
        <v>253941474.73999998</v>
      </c>
      <c r="D69" s="58">
        <f t="shared" si="11"/>
        <v>140069508.70999998</v>
      </c>
      <c r="E69" s="58">
        <f t="shared" si="11"/>
        <v>205115752.11000001</v>
      </c>
      <c r="F69" s="58">
        <f t="shared" si="11"/>
        <v>810470414.25000012</v>
      </c>
      <c r="G69" s="58">
        <f t="shared" si="11"/>
        <v>1147392219.3399999</v>
      </c>
      <c r="H69" s="59">
        <f t="shared" si="11"/>
        <v>2556989369.1499996</v>
      </c>
      <c r="I69" s="60">
        <f t="shared" si="11"/>
        <v>125891993.29999998</v>
      </c>
      <c r="J69" s="61">
        <v>453428078.05000007</v>
      </c>
      <c r="K69" s="58">
        <f>SUM(K57:K68)</f>
        <v>83084431.770000011</v>
      </c>
      <c r="L69" s="58">
        <f>SUM(L57:L68)</f>
        <v>61786581.710000001</v>
      </c>
      <c r="M69" s="58">
        <f>SUM(M57:M68)</f>
        <v>597470344.84000003</v>
      </c>
      <c r="N69" s="58">
        <f>SUM(N57:N68)</f>
        <v>1335808844.8499999</v>
      </c>
      <c r="O69" s="62">
        <f t="shared" ref="O69:O100" si="12">SUM(I69:N69)</f>
        <v>2657470274.52</v>
      </c>
    </row>
    <row r="70" spans="1:15" ht="15.75" thickTop="1">
      <c r="A70" s="25">
        <v>2005</v>
      </c>
      <c r="B70" s="28" t="s">
        <v>2</v>
      </c>
      <c r="C70" s="38">
        <v>22739552.280000001</v>
      </c>
      <c r="D70" s="39">
        <v>9458899.5899999999</v>
      </c>
      <c r="E70" s="39">
        <v>11347866.369999999</v>
      </c>
      <c r="F70" s="39">
        <f>64091246.85-119535.07</f>
        <v>63971711.780000001</v>
      </c>
      <c r="G70" s="39">
        <v>88321801.390000001</v>
      </c>
      <c r="H70" s="40">
        <f t="shared" ref="H70:H81" si="13">SUM(C70:G70)</f>
        <v>195839831.41000003</v>
      </c>
      <c r="I70" s="41">
        <v>11484522.42</v>
      </c>
      <c r="J70" s="42">
        <v>42223138.989999995</v>
      </c>
      <c r="K70" s="39">
        <v>7027040.3499999996</v>
      </c>
      <c r="L70" s="39">
        <v>4433212.0199999996</v>
      </c>
      <c r="M70" s="39">
        <f>49430696.98+545136.37</f>
        <v>49975833.349999994</v>
      </c>
      <c r="N70" s="39">
        <v>126900243.58</v>
      </c>
      <c r="O70" s="43">
        <f t="shared" si="12"/>
        <v>242043990.70999998</v>
      </c>
    </row>
    <row r="71" spans="1:15">
      <c r="A71" s="25">
        <v>2005</v>
      </c>
      <c r="B71" s="28" t="s">
        <v>3</v>
      </c>
      <c r="C71" s="38">
        <v>16310683.16</v>
      </c>
      <c r="D71" s="39">
        <v>9360154.6300000008</v>
      </c>
      <c r="E71" s="39">
        <v>11762363.15</v>
      </c>
      <c r="F71" s="39">
        <f>60244202.89-333202.7</f>
        <v>59911000.189999998</v>
      </c>
      <c r="G71" s="39">
        <v>78674038.260000005</v>
      </c>
      <c r="H71" s="40">
        <f t="shared" si="13"/>
        <v>176018239.38999999</v>
      </c>
      <c r="I71" s="41">
        <v>8964156.5999999996</v>
      </c>
      <c r="J71" s="42">
        <v>33037970.309999995</v>
      </c>
      <c r="K71" s="39">
        <v>7218814.9100000001</v>
      </c>
      <c r="L71" s="39">
        <v>4570395.68</v>
      </c>
      <c r="M71" s="39">
        <f>47688959.12-290079.36</f>
        <v>47398879.759999998</v>
      </c>
      <c r="N71" s="39">
        <v>105979640.65000001</v>
      </c>
      <c r="O71" s="43">
        <f t="shared" si="12"/>
        <v>207169857.91</v>
      </c>
    </row>
    <row r="72" spans="1:15">
      <c r="A72" s="25">
        <v>2005</v>
      </c>
      <c r="B72" s="28" t="s">
        <v>4</v>
      </c>
      <c r="C72" s="38">
        <v>18521296.239999998</v>
      </c>
      <c r="D72" s="39">
        <v>10975981.470000001</v>
      </c>
      <c r="E72" s="39">
        <v>14973382.359999999</v>
      </c>
      <c r="F72" s="39">
        <f>62281269.85-1040192.63</f>
        <v>61241077.219999999</v>
      </c>
      <c r="G72" s="39">
        <v>84385185.629999995</v>
      </c>
      <c r="H72" s="40">
        <f t="shared" si="13"/>
        <v>190096922.91999999</v>
      </c>
      <c r="I72" s="41">
        <v>10639873.27</v>
      </c>
      <c r="J72" s="42">
        <v>39096428.739999995</v>
      </c>
      <c r="K72" s="39">
        <v>7501961.21</v>
      </c>
      <c r="L72" s="39">
        <v>5844062.1200000001</v>
      </c>
      <c r="M72" s="39">
        <f>55092458.85-79945.83</f>
        <v>55012513.020000003</v>
      </c>
      <c r="N72" s="39">
        <v>122300050.54000001</v>
      </c>
      <c r="O72" s="43">
        <f t="shared" si="12"/>
        <v>240394888.89999998</v>
      </c>
    </row>
    <row r="73" spans="1:15">
      <c r="A73" s="25">
        <v>2005</v>
      </c>
      <c r="B73" s="28" t="s">
        <v>5</v>
      </c>
      <c r="C73" s="38">
        <v>16577951.359999999</v>
      </c>
      <c r="D73" s="39">
        <v>9177816.6300000008</v>
      </c>
      <c r="E73" s="39">
        <v>14709563.359999999</v>
      </c>
      <c r="F73" s="39">
        <f>57175589.3+103942.64</f>
        <v>57279531.939999998</v>
      </c>
      <c r="G73" s="39">
        <v>81070820.219999999</v>
      </c>
      <c r="H73" s="40">
        <f t="shared" si="13"/>
        <v>178815683.50999999</v>
      </c>
      <c r="I73" s="41">
        <v>9949077.9399999995</v>
      </c>
      <c r="J73" s="42">
        <v>36671600.190000005</v>
      </c>
      <c r="K73" s="39">
        <v>7886631.04</v>
      </c>
      <c r="L73" s="39">
        <v>6079115.5700000003</v>
      </c>
      <c r="M73" s="39">
        <f>54966662.49+643847.48</f>
        <v>55610509.969999999</v>
      </c>
      <c r="N73" s="39">
        <v>132257687.31</v>
      </c>
      <c r="O73" s="43">
        <f t="shared" si="12"/>
        <v>248454622.02000001</v>
      </c>
    </row>
    <row r="74" spans="1:15">
      <c r="A74" s="25">
        <v>2005</v>
      </c>
      <c r="B74" s="28" t="s">
        <v>6</v>
      </c>
      <c r="C74" s="38">
        <v>17247128.309999999</v>
      </c>
      <c r="D74" s="39">
        <v>9998243.3800000008</v>
      </c>
      <c r="E74" s="39">
        <v>15825409.07</v>
      </c>
      <c r="F74" s="39">
        <f>51888811.19-483271.97</f>
        <v>51405539.219999999</v>
      </c>
      <c r="G74" s="39">
        <v>75954338.709999993</v>
      </c>
      <c r="H74" s="40">
        <f t="shared" si="13"/>
        <v>170430658.69</v>
      </c>
      <c r="I74" s="41">
        <v>10998049.75</v>
      </c>
      <c r="J74" s="42">
        <v>40271109.68</v>
      </c>
      <c r="K74" s="39">
        <v>7765968.5899999999</v>
      </c>
      <c r="L74" s="39">
        <v>6737202.4699999997</v>
      </c>
      <c r="M74" s="39">
        <f>56083547.09-35509.11</f>
        <v>56048037.980000004</v>
      </c>
      <c r="N74" s="39">
        <v>129795725.81999999</v>
      </c>
      <c r="O74" s="43">
        <f t="shared" si="12"/>
        <v>251616094.28999999</v>
      </c>
    </row>
    <row r="75" spans="1:15">
      <c r="A75" s="25">
        <v>2005</v>
      </c>
      <c r="B75" s="28" t="s">
        <v>7</v>
      </c>
      <c r="C75" s="38">
        <v>15015852.43</v>
      </c>
      <c r="D75" s="39">
        <v>9415171.1099999994</v>
      </c>
      <c r="E75" s="39">
        <v>15255968.380000001</v>
      </c>
      <c r="F75" s="39">
        <f>53727172.32-398076.27</f>
        <v>53329096.049999997</v>
      </c>
      <c r="G75" s="39">
        <v>76018685.079999998</v>
      </c>
      <c r="H75" s="40">
        <f t="shared" si="13"/>
        <v>169034773.05000001</v>
      </c>
      <c r="I75" s="41">
        <v>9527487.4700000007</v>
      </c>
      <c r="J75" s="42">
        <v>25649589.120000005</v>
      </c>
      <c r="K75" s="39">
        <v>8325027.5999999996</v>
      </c>
      <c r="L75" s="39">
        <v>7049528.8700000001</v>
      </c>
      <c r="M75" s="39">
        <f>54268323.69-627300.28</f>
        <v>53641023.409999996</v>
      </c>
      <c r="N75" s="39">
        <v>122899930.43000001</v>
      </c>
      <c r="O75" s="43">
        <f t="shared" si="12"/>
        <v>227092586.90000001</v>
      </c>
    </row>
    <row r="76" spans="1:15">
      <c r="A76" s="25">
        <v>2005</v>
      </c>
      <c r="B76" s="28" t="s">
        <v>8</v>
      </c>
      <c r="C76" s="38">
        <v>15349837.41</v>
      </c>
      <c r="D76" s="39">
        <v>10378536.810000001</v>
      </c>
      <c r="E76" s="39">
        <v>16563859.140000001</v>
      </c>
      <c r="F76" s="39">
        <f>51075661.63+2033063.1</f>
        <v>53108724.730000004</v>
      </c>
      <c r="G76" s="39">
        <v>85101552.689999998</v>
      </c>
      <c r="H76" s="40">
        <f t="shared" si="13"/>
        <v>180502510.78</v>
      </c>
      <c r="I76" s="41">
        <v>9494185.8900000006</v>
      </c>
      <c r="J76" s="42">
        <v>25194530.469999999</v>
      </c>
      <c r="K76" s="39">
        <v>8177019.4699999997</v>
      </c>
      <c r="L76" s="39">
        <v>6961544.9299999997</v>
      </c>
      <c r="M76" s="39">
        <f>50832450.83+781671.82</f>
        <v>51614122.649999999</v>
      </c>
      <c r="N76" s="39">
        <v>117896158.37</v>
      </c>
      <c r="O76" s="43">
        <f t="shared" si="12"/>
        <v>219337561.78</v>
      </c>
    </row>
    <row r="77" spans="1:15">
      <c r="A77" s="25">
        <v>2005</v>
      </c>
      <c r="B77" s="28" t="s">
        <v>9</v>
      </c>
      <c r="C77" s="38">
        <v>19468349.469999999</v>
      </c>
      <c r="D77" s="39">
        <v>11389567.699999999</v>
      </c>
      <c r="E77" s="39">
        <v>18390588.09</v>
      </c>
      <c r="F77" s="39">
        <f>55394551.08-904484.26</f>
        <v>54490066.82</v>
      </c>
      <c r="G77" s="39">
        <v>85426795.590000004</v>
      </c>
      <c r="H77" s="40">
        <f t="shared" si="13"/>
        <v>189165367.67000002</v>
      </c>
      <c r="I77" s="41">
        <v>9920900.1099999994</v>
      </c>
      <c r="J77" s="42">
        <v>26663175.660000004</v>
      </c>
      <c r="K77" s="39">
        <v>9179447.1300000008</v>
      </c>
      <c r="L77" s="39">
        <v>7074797.0599999996</v>
      </c>
      <c r="M77" s="39">
        <f>53633600.19-486518.14</f>
        <v>53147082.049999997</v>
      </c>
      <c r="N77" s="39">
        <v>100512740.06</v>
      </c>
      <c r="O77" s="43">
        <f t="shared" si="12"/>
        <v>206498142.06999999</v>
      </c>
    </row>
    <row r="78" spans="1:15">
      <c r="A78" s="25">
        <v>2005</v>
      </c>
      <c r="B78" s="28" t="s">
        <v>10</v>
      </c>
      <c r="C78" s="38">
        <v>19314288.27</v>
      </c>
      <c r="D78" s="39">
        <v>10310886.859999999</v>
      </c>
      <c r="E78" s="39">
        <v>14445675.43</v>
      </c>
      <c r="F78" s="39">
        <f>62707856.65+153876.67</f>
        <v>62861733.32</v>
      </c>
      <c r="G78" s="39">
        <v>86270123.609999999</v>
      </c>
      <c r="H78" s="40">
        <f t="shared" si="13"/>
        <v>193202707.49000001</v>
      </c>
      <c r="I78" s="41">
        <v>9708949.8900000006</v>
      </c>
      <c r="J78" s="42">
        <v>35925233.380000003</v>
      </c>
      <c r="K78" s="39">
        <v>8070129.4199999999</v>
      </c>
      <c r="L78" s="39">
        <v>5633975.3899999997</v>
      </c>
      <c r="M78" s="39">
        <f>57346156.79-407369.6</f>
        <v>56938787.189999998</v>
      </c>
      <c r="N78" s="39">
        <v>111100496.87</v>
      </c>
      <c r="O78" s="43">
        <f t="shared" si="12"/>
        <v>227377572.14000002</v>
      </c>
    </row>
    <row r="79" spans="1:15">
      <c r="A79" s="25">
        <v>2005</v>
      </c>
      <c r="B79" s="28" t="s">
        <v>11</v>
      </c>
      <c r="C79" s="38">
        <v>19635635.989999998</v>
      </c>
      <c r="D79" s="39">
        <v>11992167.279999999</v>
      </c>
      <c r="E79" s="39">
        <v>14763879.4</v>
      </c>
      <c r="F79" s="39">
        <f>63020112.63+44799.07</f>
        <v>63064911.700000003</v>
      </c>
      <c r="G79" s="39">
        <v>87611796.599999994</v>
      </c>
      <c r="H79" s="40">
        <f t="shared" si="13"/>
        <v>197068390.97</v>
      </c>
      <c r="I79" s="41">
        <v>9898895.7799999993</v>
      </c>
      <c r="J79" s="42">
        <v>36663648.289999999</v>
      </c>
      <c r="K79" s="39">
        <v>8644342.6799999997</v>
      </c>
      <c r="L79" s="39">
        <v>6189202.7199999997</v>
      </c>
      <c r="M79" s="39">
        <f>58413982.08+592316.97</f>
        <v>59006299.049999997</v>
      </c>
      <c r="N79" s="39">
        <v>112435628.76000001</v>
      </c>
      <c r="O79" s="43">
        <f t="shared" si="12"/>
        <v>232838017.28</v>
      </c>
    </row>
    <row r="80" spans="1:15">
      <c r="A80" s="25">
        <v>2005</v>
      </c>
      <c r="B80" s="28" t="s">
        <v>12</v>
      </c>
      <c r="C80" s="38">
        <v>18801719.57</v>
      </c>
      <c r="D80" s="39">
        <v>14176489.68</v>
      </c>
      <c r="E80" s="39">
        <v>10870977.289999999</v>
      </c>
      <c r="F80" s="39">
        <f>54371897.13-559577.64</f>
        <v>53812319.490000002</v>
      </c>
      <c r="G80" s="39">
        <v>75739106.930000007</v>
      </c>
      <c r="H80" s="40">
        <f t="shared" si="13"/>
        <v>173400612.96000001</v>
      </c>
      <c r="I80" s="41">
        <v>9739641.1699999999</v>
      </c>
      <c r="J80" s="42">
        <v>36063137.729999997</v>
      </c>
      <c r="K80" s="39">
        <v>9033838.9199999999</v>
      </c>
      <c r="L80" s="39">
        <v>4992947.99</v>
      </c>
      <c r="M80" s="39">
        <f>56229348.91+214776.63</f>
        <v>56444125.539999999</v>
      </c>
      <c r="N80" s="39">
        <v>107474884.29000001</v>
      </c>
      <c r="O80" s="43">
        <f t="shared" si="12"/>
        <v>223748575.63999999</v>
      </c>
    </row>
    <row r="81" spans="1:15" ht="15.75" thickBot="1">
      <c r="A81" s="25">
        <v>2005</v>
      </c>
      <c r="B81" s="28" t="s">
        <v>13</v>
      </c>
      <c r="C81" s="38">
        <v>17009706.640000001</v>
      </c>
      <c r="D81" s="39">
        <v>12047209.49</v>
      </c>
      <c r="E81" s="39">
        <v>6745197.9299999997</v>
      </c>
      <c r="F81" s="39">
        <f>60298914.27+412850.82</f>
        <v>60711765.090000004</v>
      </c>
      <c r="G81" s="39">
        <v>70429022.590000004</v>
      </c>
      <c r="H81" s="40">
        <f t="shared" si="13"/>
        <v>166942901.74000001</v>
      </c>
      <c r="I81" s="41">
        <v>9693267.4399999995</v>
      </c>
      <c r="J81" s="42">
        <v>35720071.480000004</v>
      </c>
      <c r="K81" s="39">
        <v>9139084.0500000007</v>
      </c>
      <c r="L81" s="39">
        <v>3608631.13</v>
      </c>
      <c r="M81" s="39">
        <f>64205833.61+69361.22</f>
        <v>64275194.829999998</v>
      </c>
      <c r="N81" s="39">
        <v>126064978.83</v>
      </c>
      <c r="O81" s="43">
        <f t="shared" si="12"/>
        <v>248501227.75999999</v>
      </c>
    </row>
    <row r="82" spans="1:15" s="3" customFormat="1" ht="16.5" thickTop="1" thickBot="1">
      <c r="A82" s="33">
        <v>2005</v>
      </c>
      <c r="B82" s="34" t="s">
        <v>14</v>
      </c>
      <c r="C82" s="45">
        <f t="shared" ref="C82:I82" si="14">SUM(C70:C81)</f>
        <v>215992001.13</v>
      </c>
      <c r="D82" s="46">
        <f t="shared" si="14"/>
        <v>128681124.63000001</v>
      </c>
      <c r="E82" s="46">
        <f t="shared" si="14"/>
        <v>165654729.97</v>
      </c>
      <c r="F82" s="46">
        <f t="shared" si="14"/>
        <v>695187477.55000007</v>
      </c>
      <c r="G82" s="46">
        <f t="shared" si="14"/>
        <v>975003267.30000007</v>
      </c>
      <c r="H82" s="47">
        <f t="shared" si="14"/>
        <v>2180518600.5799999</v>
      </c>
      <c r="I82" s="48">
        <f t="shared" si="14"/>
        <v>120019007.73</v>
      </c>
      <c r="J82" s="49">
        <v>413179634.03999996</v>
      </c>
      <c r="K82" s="46">
        <f>SUM(K70:K81)</f>
        <v>97969305.370000005</v>
      </c>
      <c r="L82" s="46">
        <f>SUM(L70:L81)</f>
        <v>69174615.950000003</v>
      </c>
      <c r="M82" s="46">
        <f>SUM(M70:M81)</f>
        <v>659112408.79999995</v>
      </c>
      <c r="N82" s="46">
        <f>SUM(N70:N81)</f>
        <v>1415618165.5100002</v>
      </c>
      <c r="O82" s="50">
        <f t="shared" si="12"/>
        <v>2775073137.4000001</v>
      </c>
    </row>
    <row r="83" spans="1:15" ht="15.75" thickTop="1">
      <c r="A83" s="25">
        <v>2006</v>
      </c>
      <c r="B83" s="28" t="s">
        <v>2</v>
      </c>
      <c r="C83" s="38">
        <v>15547878.890000001</v>
      </c>
      <c r="D83" s="39">
        <v>9317572.0700000003</v>
      </c>
      <c r="E83" s="39">
        <v>11286458.82</v>
      </c>
      <c r="F83" s="39">
        <f>60076046.76+652054.47</f>
        <v>60728101.229999997</v>
      </c>
      <c r="G83" s="39">
        <v>70742768.849999994</v>
      </c>
      <c r="H83" s="40">
        <f t="shared" ref="H83:H94" si="15">SUM(C83:G83)</f>
        <v>167622779.85999998</v>
      </c>
      <c r="I83" s="41">
        <v>10224177.699999999</v>
      </c>
      <c r="J83" s="42">
        <v>37854602.090000004</v>
      </c>
      <c r="K83" s="39">
        <v>8671806.4100000001</v>
      </c>
      <c r="L83" s="39">
        <v>5473326.5499999998</v>
      </c>
      <c r="M83" s="39">
        <f>60680791.25+283339.17</f>
        <v>60964130.420000002</v>
      </c>
      <c r="N83" s="39">
        <v>115965520.95999999</v>
      </c>
      <c r="O83" s="43">
        <f t="shared" si="12"/>
        <v>239153564.13</v>
      </c>
    </row>
    <row r="84" spans="1:15">
      <c r="A84" s="25">
        <v>2006</v>
      </c>
      <c r="B84" s="28" t="s">
        <v>3</v>
      </c>
      <c r="C84" s="38">
        <v>14139960.619999999</v>
      </c>
      <c r="D84" s="39">
        <v>7848216</v>
      </c>
      <c r="E84" s="39">
        <v>8825517.8000000007</v>
      </c>
      <c r="F84" s="39">
        <f>50334733.44-1595411.7</f>
        <v>48739321.739999995</v>
      </c>
      <c r="G84" s="39">
        <v>57247796.710000001</v>
      </c>
      <c r="H84" s="40">
        <f t="shared" si="15"/>
        <v>136800812.87</v>
      </c>
      <c r="I84" s="41">
        <v>9041013.1099999994</v>
      </c>
      <c r="J84" s="42">
        <v>33439648.189999998</v>
      </c>
      <c r="K84" s="39">
        <v>8327181.75</v>
      </c>
      <c r="L84" s="39">
        <v>5325436.12</v>
      </c>
      <c r="M84" s="39">
        <f>51847532.04-175543.94</f>
        <v>51671988.100000001</v>
      </c>
      <c r="N84" s="39">
        <v>99004365.909999996</v>
      </c>
      <c r="O84" s="43">
        <f t="shared" si="12"/>
        <v>206809633.18000001</v>
      </c>
    </row>
    <row r="85" spans="1:15">
      <c r="A85" s="25">
        <v>2006</v>
      </c>
      <c r="B85" s="28" t="s">
        <v>4</v>
      </c>
      <c r="C85" s="38">
        <v>14542684.880000001</v>
      </c>
      <c r="D85" s="39">
        <v>8717460.0999999996</v>
      </c>
      <c r="E85" s="39">
        <v>11874344.25</v>
      </c>
      <c r="F85" s="39">
        <f>52428052.24-721119.93</f>
        <v>51706932.310000002</v>
      </c>
      <c r="G85" s="39">
        <v>61997672.289999999</v>
      </c>
      <c r="H85" s="40">
        <f t="shared" si="15"/>
        <v>148839093.83000001</v>
      </c>
      <c r="I85" s="41">
        <v>9637439.5600000005</v>
      </c>
      <c r="J85" s="42">
        <v>35764435.919999994</v>
      </c>
      <c r="K85" s="39">
        <v>8885698.1799999997</v>
      </c>
      <c r="L85" s="39">
        <v>6569395.6900000004</v>
      </c>
      <c r="M85" s="39">
        <f>56807494.33-1008526.74</f>
        <v>55798967.589999996</v>
      </c>
      <c r="N85" s="39">
        <v>103825811.06999999</v>
      </c>
      <c r="O85" s="43">
        <f t="shared" si="12"/>
        <v>220481748.00999999</v>
      </c>
    </row>
    <row r="86" spans="1:15">
      <c r="A86" s="25">
        <v>2006</v>
      </c>
      <c r="B86" s="28" t="s">
        <v>5</v>
      </c>
      <c r="C86" s="38">
        <v>12260289.1</v>
      </c>
      <c r="D86" s="39">
        <v>7283392.9400000004</v>
      </c>
      <c r="E86" s="39">
        <v>9735811.9499999993</v>
      </c>
      <c r="F86" s="39">
        <f>46790921.65+1082034.52</f>
        <v>47872956.170000002</v>
      </c>
      <c r="G86" s="39">
        <v>60306968.719999999</v>
      </c>
      <c r="H86" s="40">
        <f t="shared" si="15"/>
        <v>137459418.88</v>
      </c>
      <c r="I86" s="41">
        <v>8151290.6200000001</v>
      </c>
      <c r="J86" s="42">
        <v>30233319.959999997</v>
      </c>
      <c r="K86" s="39">
        <v>7684144.6600000001</v>
      </c>
      <c r="L86" s="39">
        <v>5665917.5099999998</v>
      </c>
      <c r="M86" s="39">
        <f>52501110.97+830593.33</f>
        <v>53331704.299999997</v>
      </c>
      <c r="N86" s="39">
        <v>101270111.65000001</v>
      </c>
      <c r="O86" s="43">
        <f t="shared" si="12"/>
        <v>206336488.69999999</v>
      </c>
    </row>
    <row r="87" spans="1:15">
      <c r="A87" s="25">
        <v>2006</v>
      </c>
      <c r="B87" s="28" t="s">
        <v>6</v>
      </c>
      <c r="C87" s="38">
        <v>12790168.800000001</v>
      </c>
      <c r="D87" s="39">
        <v>7848107.1799999997</v>
      </c>
      <c r="E87" s="39">
        <v>10918991.470000001</v>
      </c>
      <c r="F87" s="39">
        <f>47110930.03-1288301.08</f>
        <v>45822628.950000003</v>
      </c>
      <c r="G87" s="39">
        <v>60981958.119999997</v>
      </c>
      <c r="H87" s="40">
        <f t="shared" si="15"/>
        <v>138361854.52000001</v>
      </c>
      <c r="I87" s="41">
        <v>8729976.3900000006</v>
      </c>
      <c r="J87" s="42">
        <v>32325070.390000001</v>
      </c>
      <c r="K87" s="39">
        <v>8207333.6500000004</v>
      </c>
      <c r="L87" s="39">
        <v>6220363.4299999997</v>
      </c>
      <c r="M87" s="39">
        <f>50170238.98-456886.25</f>
        <v>49713352.729999997</v>
      </c>
      <c r="N87" s="39">
        <v>101945286.97</v>
      </c>
      <c r="O87" s="43">
        <f t="shared" si="12"/>
        <v>207141383.56</v>
      </c>
    </row>
    <row r="88" spans="1:15">
      <c r="A88" s="25">
        <v>2006</v>
      </c>
      <c r="B88" s="28" t="s">
        <v>7</v>
      </c>
      <c r="C88" s="38">
        <v>12733957.609999999</v>
      </c>
      <c r="D88" s="39">
        <v>7364160.1799999997</v>
      </c>
      <c r="E88" s="39">
        <v>11748483.27</v>
      </c>
      <c r="F88" s="39">
        <f>41790050.35-1145616.5</f>
        <v>40644433.850000001</v>
      </c>
      <c r="G88" s="39">
        <v>57329514.100000001</v>
      </c>
      <c r="H88" s="40">
        <f t="shared" si="15"/>
        <v>129820549.00999999</v>
      </c>
      <c r="I88" s="41">
        <v>8100000.8399999999</v>
      </c>
      <c r="J88" s="42">
        <v>29875030.199999999</v>
      </c>
      <c r="K88" s="39">
        <v>7420917.29</v>
      </c>
      <c r="L88" s="39">
        <v>6365614.9400000004</v>
      </c>
      <c r="M88" s="39">
        <f>47365054.34-1356709.63</f>
        <v>46008344.710000001</v>
      </c>
      <c r="N88" s="39">
        <v>99308370.739999995</v>
      </c>
      <c r="O88" s="43">
        <f t="shared" si="12"/>
        <v>197078278.71999997</v>
      </c>
    </row>
    <row r="89" spans="1:15">
      <c r="A89" s="25">
        <v>2006</v>
      </c>
      <c r="B89" s="28" t="s">
        <v>8</v>
      </c>
      <c r="C89" s="38">
        <v>12579174.699999999</v>
      </c>
      <c r="D89" s="39">
        <v>7175186.7999999998</v>
      </c>
      <c r="E89" s="39">
        <v>9600954</v>
      </c>
      <c r="F89" s="39">
        <f>35747099.71+1003783.04</f>
        <v>36750882.75</v>
      </c>
      <c r="G89" s="39">
        <v>55447948.439999998</v>
      </c>
      <c r="H89" s="40">
        <f t="shared" si="15"/>
        <v>121554146.69</v>
      </c>
      <c r="I89" s="41">
        <v>7994431.9900000002</v>
      </c>
      <c r="J89" s="42">
        <v>29469100.039999999</v>
      </c>
      <c r="K89" s="39">
        <v>7851595.5300000003</v>
      </c>
      <c r="L89" s="39">
        <v>6268380.7999999998</v>
      </c>
      <c r="M89" s="39">
        <f>41346354.33+606637.79</f>
        <v>41952992.119999997</v>
      </c>
      <c r="N89" s="39">
        <v>92882644.140000001</v>
      </c>
      <c r="O89" s="43">
        <f t="shared" si="12"/>
        <v>186419144.62</v>
      </c>
    </row>
    <row r="90" spans="1:15">
      <c r="A90" s="25">
        <v>2006</v>
      </c>
      <c r="B90" s="28" t="s">
        <v>9</v>
      </c>
      <c r="C90" s="38">
        <v>12121761.48</v>
      </c>
      <c r="D90" s="39">
        <v>9075708.9499999993</v>
      </c>
      <c r="E90" s="39">
        <v>12633244.66</v>
      </c>
      <c r="F90" s="39">
        <f>41030501.8+157796.94</f>
        <v>41188298.739999995</v>
      </c>
      <c r="G90" s="39">
        <v>66599806.420000002</v>
      </c>
      <c r="H90" s="40">
        <f t="shared" si="15"/>
        <v>141618820.25</v>
      </c>
      <c r="I90" s="41">
        <v>8391871.5399999991</v>
      </c>
      <c r="J90" s="42">
        <v>31215811.340000004</v>
      </c>
      <c r="K90" s="39">
        <v>8312264.9699999997</v>
      </c>
      <c r="L90" s="39">
        <v>6321300.4500000002</v>
      </c>
      <c r="M90" s="39">
        <f>44924138.31-312046.2</f>
        <v>44612092.109999999</v>
      </c>
      <c r="N90" s="39">
        <v>100306714.20999999</v>
      </c>
      <c r="O90" s="43">
        <f t="shared" si="12"/>
        <v>199160054.62</v>
      </c>
    </row>
    <row r="91" spans="1:15">
      <c r="A91" s="25">
        <v>2006</v>
      </c>
      <c r="B91" s="28" t="s">
        <v>10</v>
      </c>
      <c r="C91" s="38">
        <v>13469699.18</v>
      </c>
      <c r="D91" s="39">
        <v>7964618.9100000001</v>
      </c>
      <c r="E91" s="39">
        <v>9231277.5700000003</v>
      </c>
      <c r="F91" s="39">
        <f>45927332.44+1264551.26</f>
        <v>47191883.699999996</v>
      </c>
      <c r="G91" s="39">
        <v>69052757.689999998</v>
      </c>
      <c r="H91" s="40">
        <f t="shared" si="15"/>
        <v>146910237.05000001</v>
      </c>
      <c r="I91" s="41">
        <v>8375710.9000000004</v>
      </c>
      <c r="J91" s="42">
        <v>31091124.07</v>
      </c>
      <c r="K91" s="39">
        <v>7623151.2699999996</v>
      </c>
      <c r="L91" s="39">
        <v>4479588.88</v>
      </c>
      <c r="M91" s="39">
        <f>44514127.02+913194.44</f>
        <v>45427321.460000001</v>
      </c>
      <c r="N91" s="39">
        <v>108515000.81</v>
      </c>
      <c r="O91" s="43">
        <f t="shared" si="12"/>
        <v>205511897.38999999</v>
      </c>
    </row>
    <row r="92" spans="1:15">
      <c r="A92" s="25">
        <v>2006</v>
      </c>
      <c r="B92" s="28" t="s">
        <v>11</v>
      </c>
      <c r="C92" s="38">
        <v>15739396.449999999</v>
      </c>
      <c r="D92" s="39">
        <v>9640941.8900000006</v>
      </c>
      <c r="E92" s="39">
        <v>9469802.4199999999</v>
      </c>
      <c r="F92" s="39">
        <f>50529157.21-179585.03</f>
        <v>50349572.18</v>
      </c>
      <c r="G92" s="39">
        <v>71161052.730000004</v>
      </c>
      <c r="H92" s="40">
        <f t="shared" si="15"/>
        <v>156360765.67000002</v>
      </c>
      <c r="I92" s="41">
        <v>9754764.6600000001</v>
      </c>
      <c r="J92" s="42">
        <v>36217768.989999995</v>
      </c>
      <c r="K92" s="39">
        <v>8849026.2300000004</v>
      </c>
      <c r="L92" s="39">
        <v>4801176.08</v>
      </c>
      <c r="M92" s="39">
        <f>48575655.02+111471.79</f>
        <v>48687126.810000002</v>
      </c>
      <c r="N92" s="39">
        <v>103356362.95999999</v>
      </c>
      <c r="O92" s="43">
        <f t="shared" si="12"/>
        <v>211666225.72999999</v>
      </c>
    </row>
    <row r="93" spans="1:15">
      <c r="A93" s="25">
        <v>2006</v>
      </c>
      <c r="B93" s="28" t="s">
        <v>12</v>
      </c>
      <c r="C93" s="38">
        <v>14652860.800000001</v>
      </c>
      <c r="D93" s="39">
        <v>11353950.970000001</v>
      </c>
      <c r="E93" s="39">
        <v>8670973.4600000009</v>
      </c>
      <c r="F93" s="39">
        <f>49099535.29+144249.66</f>
        <v>49243784.949999996</v>
      </c>
      <c r="G93" s="39">
        <v>66043082.439999998</v>
      </c>
      <c r="H93" s="40">
        <f t="shared" si="15"/>
        <v>149964652.62</v>
      </c>
      <c r="I93" s="41">
        <v>8796515.5099999998</v>
      </c>
      <c r="J93" s="42">
        <v>32784295.950000003</v>
      </c>
      <c r="K93" s="39">
        <v>8328263.7300000004</v>
      </c>
      <c r="L93" s="39">
        <v>4456158.41</v>
      </c>
      <c r="M93" s="39">
        <f>54076197.28+448423.5</f>
        <v>54524620.780000001</v>
      </c>
      <c r="N93" s="39">
        <v>113966931.16</v>
      </c>
      <c r="O93" s="43">
        <f t="shared" si="12"/>
        <v>222856785.53999999</v>
      </c>
    </row>
    <row r="94" spans="1:15" ht="15.75" thickBot="1">
      <c r="A94" s="26">
        <v>2006</v>
      </c>
      <c r="B94" s="29" t="s">
        <v>13</v>
      </c>
      <c r="C94" s="51">
        <v>14415399.18</v>
      </c>
      <c r="D94" s="52">
        <v>9803203.0399999991</v>
      </c>
      <c r="E94" s="52">
        <v>5685160.4299999997</v>
      </c>
      <c r="F94" s="52">
        <f>54940149.49+1852403.88</f>
        <v>56792553.370000005</v>
      </c>
      <c r="G94" s="52">
        <v>69394012.109999999</v>
      </c>
      <c r="H94" s="53">
        <f t="shared" si="15"/>
        <v>156090328.13</v>
      </c>
      <c r="I94" s="54">
        <v>9039944.9100000001</v>
      </c>
      <c r="J94" s="55">
        <v>33546411.459999997</v>
      </c>
      <c r="K94" s="52">
        <v>8774197.9000000004</v>
      </c>
      <c r="L94" s="52">
        <v>3232835.53</v>
      </c>
      <c r="M94" s="52">
        <f>63644189.24+530718.24</f>
        <v>64174907.480000004</v>
      </c>
      <c r="N94" s="52">
        <v>125894009.26000001</v>
      </c>
      <c r="O94" s="56">
        <f t="shared" si="12"/>
        <v>244662306.54000002</v>
      </c>
    </row>
    <row r="95" spans="1:15" s="3" customFormat="1" ht="16.5" thickTop="1" thickBot="1">
      <c r="A95" s="31">
        <v>2006</v>
      </c>
      <c r="B95" s="32" t="s">
        <v>14</v>
      </c>
      <c r="C95" s="57">
        <f t="shared" ref="C95:I95" si="16">SUM(C83:C94)</f>
        <v>164993231.69000003</v>
      </c>
      <c r="D95" s="58">
        <f t="shared" si="16"/>
        <v>103392519.03</v>
      </c>
      <c r="E95" s="58">
        <f t="shared" si="16"/>
        <v>119681020.09999999</v>
      </c>
      <c r="F95" s="58">
        <f t="shared" si="16"/>
        <v>577031349.94000006</v>
      </c>
      <c r="G95" s="58">
        <f t="shared" si="16"/>
        <v>766305338.62</v>
      </c>
      <c r="H95" s="59">
        <f t="shared" si="16"/>
        <v>1731403459.3800001</v>
      </c>
      <c r="I95" s="60">
        <f t="shared" si="16"/>
        <v>106237137.73</v>
      </c>
      <c r="J95" s="61">
        <v>393816618.59999996</v>
      </c>
      <c r="K95" s="58">
        <f>SUM(K83:K94)</f>
        <v>98935581.570000008</v>
      </c>
      <c r="L95" s="58">
        <f>SUM(L83:L94)</f>
        <v>65179494.390000001</v>
      </c>
      <c r="M95" s="58">
        <f>SUM(M83:M94)</f>
        <v>616867548.61000001</v>
      </c>
      <c r="N95" s="58">
        <f>SUM(N83:N94)</f>
        <v>1266241129.8400002</v>
      </c>
      <c r="O95" s="62">
        <f t="shared" si="12"/>
        <v>2547277510.7400002</v>
      </c>
    </row>
    <row r="96" spans="1:15" ht="15.75" thickTop="1">
      <c r="A96" s="25">
        <v>2007</v>
      </c>
      <c r="B96" s="28" t="s">
        <v>2</v>
      </c>
      <c r="C96" s="38">
        <v>14668739.880000001</v>
      </c>
      <c r="D96" s="39">
        <v>8381906.29</v>
      </c>
      <c r="E96" s="39">
        <v>8367465.1399999997</v>
      </c>
      <c r="F96" s="39">
        <f>58423797.99-1700822.62</f>
        <v>56722975.370000005</v>
      </c>
      <c r="G96" s="39">
        <v>66458166.619999997</v>
      </c>
      <c r="H96" s="40">
        <f t="shared" ref="H96:H107" si="17">SUM(C96:G96)</f>
        <v>154599253.30000001</v>
      </c>
      <c r="I96" s="41">
        <v>10385095.880000001</v>
      </c>
      <c r="J96" s="42">
        <v>38452713.989999995</v>
      </c>
      <c r="K96" s="39">
        <v>8804013.7799999993</v>
      </c>
      <c r="L96" s="39">
        <v>4936092.71</v>
      </c>
      <c r="M96" s="39">
        <f>65847128.7+350316.1</f>
        <v>66197444.800000004</v>
      </c>
      <c r="N96" s="39">
        <v>131649870.09</v>
      </c>
      <c r="O96" s="43">
        <f t="shared" si="12"/>
        <v>260425231.25</v>
      </c>
    </row>
    <row r="97" spans="1:15">
      <c r="A97" s="25">
        <v>2006</v>
      </c>
      <c r="B97" s="28" t="s">
        <v>3</v>
      </c>
      <c r="C97" s="38">
        <v>12009435.109999999</v>
      </c>
      <c r="D97" s="39">
        <v>7142508.4199999999</v>
      </c>
      <c r="E97" s="39">
        <v>8802676.0099999998</v>
      </c>
      <c r="F97" s="39">
        <f>52500450.93+142517.85</f>
        <v>52642968.780000001</v>
      </c>
      <c r="G97" s="39">
        <v>60832175.350000001</v>
      </c>
      <c r="H97" s="40">
        <f t="shared" si="17"/>
        <v>141429763.66999999</v>
      </c>
      <c r="I97" s="41">
        <v>10872482.189999999</v>
      </c>
      <c r="J97" s="42">
        <v>39826109.57</v>
      </c>
      <c r="K97" s="39">
        <v>8611104.7300000004</v>
      </c>
      <c r="L97" s="39">
        <v>5974831.7999999998</v>
      </c>
      <c r="M97" s="39">
        <f>66020934.71-181966.23</f>
        <v>65838968.480000004</v>
      </c>
      <c r="N97" s="39">
        <v>133407197.84999999</v>
      </c>
      <c r="O97" s="43">
        <f t="shared" si="12"/>
        <v>264530694.62</v>
      </c>
    </row>
    <row r="98" spans="1:15">
      <c r="A98" s="25">
        <v>2007</v>
      </c>
      <c r="B98" s="28" t="s">
        <v>4</v>
      </c>
      <c r="C98" s="38">
        <v>13622516.050000001</v>
      </c>
      <c r="D98" s="39">
        <v>8714036.8200000003</v>
      </c>
      <c r="E98" s="39">
        <v>10110361.640000001</v>
      </c>
      <c r="F98" s="39">
        <f>61047207.76+629375.65</f>
        <v>61676583.409999996</v>
      </c>
      <c r="G98" s="39">
        <v>73702871.819999993</v>
      </c>
      <c r="H98" s="40">
        <f t="shared" si="17"/>
        <v>167826369.74000001</v>
      </c>
      <c r="I98" s="41">
        <v>12573383.560000001</v>
      </c>
      <c r="J98" s="42">
        <v>46100374.969999999</v>
      </c>
      <c r="K98" s="39">
        <v>10342607.550000001</v>
      </c>
      <c r="L98" s="39">
        <v>6993008.0999999996</v>
      </c>
      <c r="M98" s="39">
        <f>77007456.58+1026568.13</f>
        <v>78034024.709999993</v>
      </c>
      <c r="N98" s="39">
        <v>161019818.81999999</v>
      </c>
      <c r="O98" s="43">
        <f t="shared" si="12"/>
        <v>315063217.70999998</v>
      </c>
    </row>
    <row r="99" spans="1:15">
      <c r="A99" s="25">
        <v>2007</v>
      </c>
      <c r="B99" s="28" t="s">
        <v>5</v>
      </c>
      <c r="C99" s="38">
        <v>14590515.67</v>
      </c>
      <c r="D99" s="39">
        <v>8907794.5199999996</v>
      </c>
      <c r="E99" s="39">
        <v>11787228.5</v>
      </c>
      <c r="F99" s="39">
        <f>60369754.69-471422.3</f>
        <v>59898332.390000001</v>
      </c>
      <c r="G99" s="39">
        <v>72149194.409999996</v>
      </c>
      <c r="H99" s="40">
        <f t="shared" si="17"/>
        <v>167333065.49000001</v>
      </c>
      <c r="I99" s="41">
        <v>12862062.560000001</v>
      </c>
      <c r="J99" s="42">
        <v>47095436.549999997</v>
      </c>
      <c r="K99" s="39">
        <v>10657493.939999999</v>
      </c>
      <c r="L99" s="39">
        <v>10331276.59</v>
      </c>
      <c r="M99" s="39">
        <f>85817563.37+261256.89</f>
        <v>86078820.260000005</v>
      </c>
      <c r="N99" s="39">
        <v>166300192.47</v>
      </c>
      <c r="O99" s="43">
        <f t="shared" si="12"/>
        <v>333325282.37</v>
      </c>
    </row>
    <row r="100" spans="1:15">
      <c r="A100" s="25">
        <v>2007</v>
      </c>
      <c r="B100" s="28" t="s">
        <v>6</v>
      </c>
      <c r="C100" s="38">
        <v>15140057.08</v>
      </c>
      <c r="D100" s="39">
        <v>10548882.550000001</v>
      </c>
      <c r="E100" s="39">
        <v>13555292.27</v>
      </c>
      <c r="F100" s="39">
        <f>59916522.11-1113480.21</f>
        <v>58803041.899999999</v>
      </c>
      <c r="G100" s="39">
        <v>80323550.560000002</v>
      </c>
      <c r="H100" s="40">
        <f t="shared" si="17"/>
        <v>178370824.36000001</v>
      </c>
      <c r="I100" s="41">
        <v>14386149.439999999</v>
      </c>
      <c r="J100" s="42">
        <v>52818269.640000001</v>
      </c>
      <c r="K100" s="39">
        <v>11550502.58</v>
      </c>
      <c r="L100" s="39">
        <v>9842707.5299999993</v>
      </c>
      <c r="M100" s="39">
        <f>89619558.12-891320.61</f>
        <v>88728237.510000005</v>
      </c>
      <c r="N100" s="39">
        <v>212134043.28</v>
      </c>
      <c r="O100" s="43">
        <f t="shared" si="12"/>
        <v>389459909.98000002</v>
      </c>
    </row>
    <row r="101" spans="1:15">
      <c r="A101" s="25">
        <v>2007</v>
      </c>
      <c r="B101" s="28" t="s">
        <v>7</v>
      </c>
      <c r="C101" s="38">
        <v>15206231.640000001</v>
      </c>
      <c r="D101" s="39">
        <v>11049821.640000001</v>
      </c>
      <c r="E101" s="39">
        <v>14451561.18</v>
      </c>
      <c r="F101" s="39">
        <f>56791402.45+2083137.42</f>
        <v>58874539.870000005</v>
      </c>
      <c r="G101" s="39">
        <v>79871286.120000005</v>
      </c>
      <c r="H101" s="40">
        <f t="shared" si="17"/>
        <v>179453440.45000002</v>
      </c>
      <c r="I101" s="41">
        <v>15077595.720000001</v>
      </c>
      <c r="J101" s="42">
        <v>54716578.560000002</v>
      </c>
      <c r="K101" s="39">
        <v>13893269.710000001</v>
      </c>
      <c r="L101" s="39">
        <v>11558843.15</v>
      </c>
      <c r="M101" s="39">
        <f>95257717.68+2682929.37</f>
        <v>97940647.050000012</v>
      </c>
      <c r="N101" s="39">
        <v>247145085.19999999</v>
      </c>
      <c r="O101" s="43">
        <f t="shared" ref="O101:O132" si="18">SUM(I101:N101)</f>
        <v>440332019.38999999</v>
      </c>
    </row>
    <row r="102" spans="1:15">
      <c r="A102" s="25">
        <v>2007</v>
      </c>
      <c r="B102" s="28" t="s">
        <v>8</v>
      </c>
      <c r="C102" s="38">
        <v>18258660.989999998</v>
      </c>
      <c r="D102" s="39">
        <v>11308520.529999999</v>
      </c>
      <c r="E102" s="39">
        <v>13733534.5</v>
      </c>
      <c r="F102" s="39">
        <f>60487692.43-187854.61</f>
        <v>60299837.82</v>
      </c>
      <c r="G102" s="39">
        <v>80110822.069999993</v>
      </c>
      <c r="H102" s="40">
        <f t="shared" si="17"/>
        <v>183711375.91</v>
      </c>
      <c r="I102" s="41">
        <v>19998848.219999999</v>
      </c>
      <c r="J102" s="42">
        <v>67484155.460000008</v>
      </c>
      <c r="K102" s="39">
        <v>14267563.289999999</v>
      </c>
      <c r="L102" s="39">
        <v>11583144.43</v>
      </c>
      <c r="M102" s="39">
        <f>127853130.51-1014962.33</f>
        <v>126838168.18000001</v>
      </c>
      <c r="N102" s="39">
        <v>243756569.75999999</v>
      </c>
      <c r="O102" s="43">
        <f t="shared" si="18"/>
        <v>483928449.34000003</v>
      </c>
    </row>
    <row r="103" spans="1:15">
      <c r="A103" s="25">
        <v>2007</v>
      </c>
      <c r="B103" s="28" t="s">
        <v>9</v>
      </c>
      <c r="C103" s="38">
        <v>17854095.760000002</v>
      </c>
      <c r="D103" s="39">
        <v>10954414.439999999</v>
      </c>
      <c r="E103" s="39">
        <v>12718509.9</v>
      </c>
      <c r="F103" s="39">
        <f>62841147.6-563174.45</f>
        <v>62277973.149999999</v>
      </c>
      <c r="G103" s="39">
        <v>77882766.019999996</v>
      </c>
      <c r="H103" s="40">
        <f t="shared" si="17"/>
        <v>181687759.26999998</v>
      </c>
      <c r="I103" s="41">
        <v>20810585.390000001</v>
      </c>
      <c r="J103" s="42">
        <v>75068215.900000006</v>
      </c>
      <c r="K103" s="39">
        <v>18703376.190000001</v>
      </c>
      <c r="L103" s="39">
        <v>12991151.1</v>
      </c>
      <c r="M103" s="39">
        <f>140066505.81-2565956.23</f>
        <v>137500549.58000001</v>
      </c>
      <c r="N103" s="39">
        <v>225745586.03</v>
      </c>
      <c r="O103" s="43">
        <f t="shared" si="18"/>
        <v>490819464.19000006</v>
      </c>
    </row>
    <row r="104" spans="1:15">
      <c r="A104" s="25">
        <v>2007</v>
      </c>
      <c r="B104" s="28" t="s">
        <v>10</v>
      </c>
      <c r="C104" s="38">
        <v>16827780.219999999</v>
      </c>
      <c r="D104" s="39">
        <v>9990032.1500000004</v>
      </c>
      <c r="E104" s="39">
        <v>10300822.68</v>
      </c>
      <c r="F104" s="39">
        <f>58195179.76-1504053.25</f>
        <v>56691126.509999998</v>
      </c>
      <c r="G104" s="39">
        <v>69181015.909999996</v>
      </c>
      <c r="H104" s="40">
        <f t="shared" si="17"/>
        <v>162990777.47</v>
      </c>
      <c r="I104" s="41">
        <v>18836609.670000002</v>
      </c>
      <c r="J104" s="42">
        <v>68326661.269999996</v>
      </c>
      <c r="K104" s="39">
        <v>18435349.23</v>
      </c>
      <c r="L104" s="39">
        <v>10133818.529999999</v>
      </c>
      <c r="M104" s="39">
        <f>134475279.02-1359052.32</f>
        <v>133116226.70000002</v>
      </c>
      <c r="N104" s="39">
        <v>212694818.33000001</v>
      </c>
      <c r="O104" s="43">
        <f t="shared" si="18"/>
        <v>461543483.73000002</v>
      </c>
    </row>
    <row r="105" spans="1:15">
      <c r="A105" s="25">
        <v>2007</v>
      </c>
      <c r="B105" s="28" t="s">
        <v>11</v>
      </c>
      <c r="C105" s="38">
        <v>17673711.48</v>
      </c>
      <c r="D105" s="39">
        <v>11458930.17</v>
      </c>
      <c r="E105" s="39">
        <v>10674856.720000001</v>
      </c>
      <c r="F105" s="39">
        <f>62015303.92-2950713.69</f>
        <v>59064590.230000004</v>
      </c>
      <c r="G105" s="39">
        <v>67963792.019999996</v>
      </c>
      <c r="H105" s="40">
        <f t="shared" si="17"/>
        <v>166835880.62</v>
      </c>
      <c r="I105" s="41">
        <v>22223911.309999999</v>
      </c>
      <c r="J105" s="42">
        <v>80937974.700000003</v>
      </c>
      <c r="K105" s="39">
        <v>22987281.559999999</v>
      </c>
      <c r="L105" s="39">
        <v>12798609.449999999</v>
      </c>
      <c r="M105" s="39">
        <f>158075588.77-3575471.07</f>
        <v>154500117.70000002</v>
      </c>
      <c r="N105" s="39">
        <v>200179896.56</v>
      </c>
      <c r="O105" s="43">
        <f t="shared" si="18"/>
        <v>493627791.28000003</v>
      </c>
    </row>
    <row r="106" spans="1:15">
      <c r="A106" s="25">
        <v>2007</v>
      </c>
      <c r="B106" s="28" t="s">
        <v>12</v>
      </c>
      <c r="C106" s="38">
        <v>15430945.85</v>
      </c>
      <c r="D106" s="39">
        <v>11863931.99</v>
      </c>
      <c r="E106" s="39">
        <v>9226225.1500000004</v>
      </c>
      <c r="F106" s="39">
        <f>59987752.86+1423988.14</f>
        <v>61411741</v>
      </c>
      <c r="G106" s="39">
        <v>69972395.640000001</v>
      </c>
      <c r="H106" s="40">
        <f t="shared" si="17"/>
        <v>167905239.63</v>
      </c>
      <c r="I106" s="41">
        <v>21261511.879999999</v>
      </c>
      <c r="J106" s="42">
        <v>76852986.210000008</v>
      </c>
      <c r="K106" s="39">
        <v>20962239.629999999</v>
      </c>
      <c r="L106" s="39">
        <v>11249238.91</v>
      </c>
      <c r="M106" s="39">
        <f>144831378.5+388090.19</f>
        <v>145219468.69</v>
      </c>
      <c r="N106" s="39">
        <v>229150039.38</v>
      </c>
      <c r="O106" s="43">
        <f t="shared" si="18"/>
        <v>504695484.69999999</v>
      </c>
    </row>
    <row r="107" spans="1:15" ht="15.75" thickBot="1">
      <c r="A107" s="25">
        <v>2007</v>
      </c>
      <c r="B107" s="28" t="s">
        <v>13</v>
      </c>
      <c r="C107" s="38">
        <v>16209664.5</v>
      </c>
      <c r="D107" s="39">
        <v>9365788.3100000005</v>
      </c>
      <c r="E107" s="39">
        <v>4958326.05</v>
      </c>
      <c r="F107" s="39">
        <f>73073281.81+996292.19</f>
        <v>74069574</v>
      </c>
      <c r="G107" s="39">
        <v>69278605.689999998</v>
      </c>
      <c r="H107" s="40">
        <f t="shared" si="17"/>
        <v>173881958.55000001</v>
      </c>
      <c r="I107" s="41">
        <v>21171587.66</v>
      </c>
      <c r="J107" s="42">
        <v>76652364.060000002</v>
      </c>
      <c r="K107" s="39">
        <v>20228587.809999999</v>
      </c>
      <c r="L107" s="39">
        <v>8682368.25</v>
      </c>
      <c r="M107" s="39">
        <f>149767598.37-677782.01</f>
        <v>149089816.36000001</v>
      </c>
      <c r="N107" s="39">
        <v>220984682.49000001</v>
      </c>
      <c r="O107" s="43">
        <f t="shared" si="18"/>
        <v>496809406.63</v>
      </c>
    </row>
    <row r="108" spans="1:15" s="3" customFormat="1" ht="16.5" thickTop="1" thickBot="1">
      <c r="A108" s="33">
        <v>2007</v>
      </c>
      <c r="B108" s="34" t="s">
        <v>14</v>
      </c>
      <c r="C108" s="45">
        <f t="shared" ref="C108:I108" si="19">SUM(C96:C107)</f>
        <v>187492354.22999999</v>
      </c>
      <c r="D108" s="46">
        <f t="shared" si="19"/>
        <v>119686567.83000001</v>
      </c>
      <c r="E108" s="46">
        <f t="shared" si="19"/>
        <v>128686859.74000002</v>
      </c>
      <c r="F108" s="46">
        <f t="shared" si="19"/>
        <v>722433284.42999995</v>
      </c>
      <c r="G108" s="46">
        <f t="shared" si="19"/>
        <v>867726642.23000002</v>
      </c>
      <c r="H108" s="47">
        <f t="shared" si="19"/>
        <v>2026025708.4600003</v>
      </c>
      <c r="I108" s="48">
        <f t="shared" si="19"/>
        <v>200459823.47999999</v>
      </c>
      <c r="J108" s="49">
        <v>724331840.88</v>
      </c>
      <c r="K108" s="46">
        <f>SUM(K96:K107)</f>
        <v>179443390</v>
      </c>
      <c r="L108" s="46">
        <f>SUM(L96:L107)</f>
        <v>117075090.55</v>
      </c>
      <c r="M108" s="46">
        <f>SUM(M96:M107)</f>
        <v>1329082490.02</v>
      </c>
      <c r="N108" s="46">
        <f>SUM(N96:N107)</f>
        <v>2384167800.2600002</v>
      </c>
      <c r="O108" s="50">
        <f t="shared" si="18"/>
        <v>4934560435.1900005</v>
      </c>
    </row>
    <row r="109" spans="1:15" ht="15.75" thickTop="1">
      <c r="A109" s="25">
        <v>2008</v>
      </c>
      <c r="B109" s="28" t="s">
        <v>2</v>
      </c>
      <c r="C109" s="38">
        <v>16723651.210000001</v>
      </c>
      <c r="D109" s="39">
        <v>8177988.2400000002</v>
      </c>
      <c r="E109" s="39">
        <v>9370965.4000000004</v>
      </c>
      <c r="F109" s="39">
        <f>68196658.74-1934263.87</f>
        <v>66262394.869999997</v>
      </c>
      <c r="G109" s="39">
        <v>64084449.770000003</v>
      </c>
      <c r="H109" s="40">
        <f t="shared" ref="H109:H120" si="20">SUM(C109:G109)</f>
        <v>164619449.49000001</v>
      </c>
      <c r="I109" s="41">
        <v>22528429.829999998</v>
      </c>
      <c r="J109" s="42">
        <v>81276445.5</v>
      </c>
      <c r="K109" s="39">
        <v>21050684.699999999</v>
      </c>
      <c r="L109" s="39">
        <v>13083962.85</v>
      </c>
      <c r="M109" s="39">
        <f>124909614.98-770521.7</f>
        <v>124139093.28</v>
      </c>
      <c r="N109" s="39">
        <v>198741399.66</v>
      </c>
      <c r="O109" s="43">
        <f t="shared" si="18"/>
        <v>460820015.81999999</v>
      </c>
    </row>
    <row r="110" spans="1:15">
      <c r="A110" s="25">
        <v>2008</v>
      </c>
      <c r="B110" s="28" t="s">
        <v>3</v>
      </c>
      <c r="C110" s="38">
        <v>13834309.789999999</v>
      </c>
      <c r="D110" s="39">
        <v>7647828.5700000003</v>
      </c>
      <c r="E110" s="39">
        <v>9104924.5600000005</v>
      </c>
      <c r="F110" s="39">
        <f>61955912.37+32198.9</f>
        <v>61988111.269999996</v>
      </c>
      <c r="G110" s="39">
        <v>58626001.579999998</v>
      </c>
      <c r="H110" s="40">
        <f t="shared" si="20"/>
        <v>151201175.76999998</v>
      </c>
      <c r="I110" s="41">
        <v>19357051.789999999</v>
      </c>
      <c r="J110" s="42">
        <v>69965219.50999999</v>
      </c>
      <c r="K110" s="39">
        <v>16237340.5</v>
      </c>
      <c r="L110" s="39">
        <v>10338960.74</v>
      </c>
      <c r="M110" s="39">
        <f>102931353.11-1688767.1</f>
        <v>101242586.01000001</v>
      </c>
      <c r="N110" s="39">
        <v>199541700.5</v>
      </c>
      <c r="O110" s="43">
        <f t="shared" si="18"/>
        <v>416682859.04999995</v>
      </c>
    </row>
    <row r="111" spans="1:15">
      <c r="A111" s="25">
        <v>2008</v>
      </c>
      <c r="B111" s="28" t="s">
        <v>4</v>
      </c>
      <c r="C111" s="38">
        <v>14162021.51</v>
      </c>
      <c r="D111" s="39">
        <v>8517110.1799999997</v>
      </c>
      <c r="E111" s="39">
        <v>11431250.609999999</v>
      </c>
      <c r="F111" s="39">
        <f>70992714.91+1542420.98</f>
        <v>72535135.890000001</v>
      </c>
      <c r="G111" s="39">
        <v>69359097.049999997</v>
      </c>
      <c r="H111" s="40">
        <f t="shared" si="20"/>
        <v>176004615.24000001</v>
      </c>
      <c r="I111" s="41">
        <v>16782116.170000002</v>
      </c>
      <c r="J111" s="42">
        <v>60935777.989999995</v>
      </c>
      <c r="K111" s="39">
        <v>16903879.420000002</v>
      </c>
      <c r="L111" s="39">
        <v>13347834.51</v>
      </c>
      <c r="M111" s="39">
        <f>116074063.15+726867.55</f>
        <v>116800930.7</v>
      </c>
      <c r="N111" s="39">
        <v>188995700.16999999</v>
      </c>
      <c r="O111" s="43">
        <f t="shared" si="18"/>
        <v>413766238.96000004</v>
      </c>
    </row>
    <row r="112" spans="1:15">
      <c r="A112" s="25">
        <v>2008</v>
      </c>
      <c r="B112" s="28" t="s">
        <v>5</v>
      </c>
      <c r="C112" s="38">
        <v>14488486.35</v>
      </c>
      <c r="D112" s="39">
        <v>8782997.7200000007</v>
      </c>
      <c r="E112" s="39">
        <v>11891248.720000001</v>
      </c>
      <c r="F112" s="39">
        <f>71751513.7-1552671.64</f>
        <v>70198842.060000002</v>
      </c>
      <c r="G112" s="39">
        <v>70484918.049999997</v>
      </c>
      <c r="H112" s="40">
        <f t="shared" si="20"/>
        <v>175846492.89999998</v>
      </c>
      <c r="I112" s="41">
        <v>17559085.710000001</v>
      </c>
      <c r="J112" s="42">
        <v>63619097.669999994</v>
      </c>
      <c r="K112" s="39">
        <v>13306204.619999999</v>
      </c>
      <c r="L112" s="39">
        <v>10450198.73</v>
      </c>
      <c r="M112" s="39">
        <f>108154556.78-1438226.06</f>
        <v>106716330.72</v>
      </c>
      <c r="N112" s="39">
        <v>175652074.56</v>
      </c>
      <c r="O112" s="43">
        <f t="shared" si="18"/>
        <v>387302992.00999999</v>
      </c>
    </row>
    <row r="113" spans="1:15">
      <c r="A113" s="25">
        <v>2008</v>
      </c>
      <c r="B113" s="28" t="s">
        <v>6</v>
      </c>
      <c r="C113" s="38">
        <v>15703597.51</v>
      </c>
      <c r="D113" s="39">
        <v>9059297.3000000007</v>
      </c>
      <c r="E113" s="39">
        <v>12055634.85</v>
      </c>
      <c r="F113" s="39">
        <f>73352865.66+1428026.7</f>
        <v>74780892.359999999</v>
      </c>
      <c r="G113" s="39">
        <v>77194670.180000007</v>
      </c>
      <c r="H113" s="40">
        <f t="shared" si="20"/>
        <v>188794092.20000002</v>
      </c>
      <c r="I113" s="41">
        <v>15899832.1</v>
      </c>
      <c r="J113" s="42">
        <v>58045261.18</v>
      </c>
      <c r="K113" s="39">
        <v>13582011.109999999</v>
      </c>
      <c r="L113" s="39">
        <v>10017842.289999999</v>
      </c>
      <c r="M113" s="39">
        <f>115509460.47+1805098.66</f>
        <v>117314559.13</v>
      </c>
      <c r="N113" s="39">
        <v>199709556.71000001</v>
      </c>
      <c r="O113" s="43">
        <f t="shared" si="18"/>
        <v>414569062.51999998</v>
      </c>
    </row>
    <row r="114" spans="1:15">
      <c r="A114" s="25">
        <v>2008</v>
      </c>
      <c r="B114" s="28" t="s">
        <v>7</v>
      </c>
      <c r="C114" s="38">
        <v>16056276.18</v>
      </c>
      <c r="D114" s="39">
        <v>9900123.4299999997</v>
      </c>
      <c r="E114" s="39">
        <v>15971251.1</v>
      </c>
      <c r="F114" s="39">
        <f>67332586.25-924454.64</f>
        <v>66408131.609999999</v>
      </c>
      <c r="G114" s="39">
        <v>74959233.140000001</v>
      </c>
      <c r="H114" s="40">
        <f t="shared" si="20"/>
        <v>183295015.45999998</v>
      </c>
      <c r="I114" s="41">
        <v>16044490</v>
      </c>
      <c r="J114" s="42">
        <v>58350295.040000007</v>
      </c>
      <c r="K114" s="39">
        <v>12518274.539999999</v>
      </c>
      <c r="L114" s="39">
        <v>10770456.859999999</v>
      </c>
      <c r="M114" s="39">
        <f>110122466.36-1078245.37</f>
        <v>109044220.98999999</v>
      </c>
      <c r="N114" s="39">
        <v>201168135.41</v>
      </c>
      <c r="O114" s="43">
        <f t="shared" si="18"/>
        <v>407895872.84000003</v>
      </c>
    </row>
    <row r="115" spans="1:15">
      <c r="A115" s="25">
        <v>2008</v>
      </c>
      <c r="B115" s="28" t="s">
        <v>8</v>
      </c>
      <c r="C115" s="38">
        <v>17804889.34</v>
      </c>
      <c r="D115" s="39">
        <v>11377976.369999999</v>
      </c>
      <c r="E115" s="39">
        <v>15223827.1</v>
      </c>
      <c r="F115" s="39">
        <f>65540614.14+1072293.04</f>
        <v>66612907.18</v>
      </c>
      <c r="G115" s="39">
        <v>77154829.75</v>
      </c>
      <c r="H115" s="40">
        <f t="shared" si="20"/>
        <v>188174429.74000001</v>
      </c>
      <c r="I115" s="41">
        <v>19292818.239999998</v>
      </c>
      <c r="J115" s="42">
        <v>69695898.340000004</v>
      </c>
      <c r="K115" s="39">
        <v>13844626.59</v>
      </c>
      <c r="L115" s="39">
        <v>9489458.2699999996</v>
      </c>
      <c r="M115" s="39">
        <f>107514651.25+597070.94</f>
        <v>108111722.19</v>
      </c>
      <c r="N115" s="39">
        <v>178351056.36000001</v>
      </c>
      <c r="O115" s="43">
        <f t="shared" si="18"/>
        <v>398785579.99000001</v>
      </c>
    </row>
    <row r="116" spans="1:15">
      <c r="A116" s="25">
        <v>2008</v>
      </c>
      <c r="B116" s="28" t="s">
        <v>9</v>
      </c>
      <c r="C116" s="38">
        <v>17800827.010000002</v>
      </c>
      <c r="D116" s="39">
        <v>13531323.74</v>
      </c>
      <c r="E116" s="39">
        <v>15465732.66</v>
      </c>
      <c r="F116" s="39">
        <f>71705799.21+426167.11</f>
        <v>72131966.319999993</v>
      </c>
      <c r="G116" s="39">
        <v>80615471.519999996</v>
      </c>
      <c r="H116" s="40">
        <f t="shared" si="20"/>
        <v>199545321.25</v>
      </c>
      <c r="I116" s="41">
        <v>15811452.640000001</v>
      </c>
      <c r="J116" s="42">
        <v>57806071.620000005</v>
      </c>
      <c r="K116" s="39">
        <v>14505636.710000001</v>
      </c>
      <c r="L116" s="39">
        <v>8943793.0199999996</v>
      </c>
      <c r="M116" s="39">
        <f>108690568.15-778473.06</f>
        <v>107912095.09</v>
      </c>
      <c r="N116" s="39">
        <v>148648816.38999999</v>
      </c>
      <c r="O116" s="43">
        <f t="shared" si="18"/>
        <v>353627865.46999997</v>
      </c>
    </row>
    <row r="117" spans="1:15">
      <c r="A117" s="27">
        <v>2008</v>
      </c>
      <c r="B117" s="30" t="s">
        <v>10</v>
      </c>
      <c r="C117" s="63">
        <v>18345256.879999999</v>
      </c>
      <c r="D117" s="64">
        <v>13860823.539999999</v>
      </c>
      <c r="E117" s="64">
        <v>13719106.92</v>
      </c>
      <c r="F117" s="64">
        <v>72549245.030000001</v>
      </c>
      <c r="G117" s="64">
        <v>81457644.739999995</v>
      </c>
      <c r="H117" s="65">
        <f t="shared" si="20"/>
        <v>199932077.11000001</v>
      </c>
      <c r="I117" s="66">
        <v>15326492</v>
      </c>
      <c r="J117" s="67">
        <v>55558377.909999996</v>
      </c>
      <c r="K117" s="64">
        <v>14428196.15</v>
      </c>
      <c r="L117" s="64">
        <v>8806361.7400000002</v>
      </c>
      <c r="M117" s="64">
        <v>89255919.209999993</v>
      </c>
      <c r="N117" s="64">
        <v>149647311.33000001</v>
      </c>
      <c r="O117" s="68">
        <f t="shared" si="18"/>
        <v>333022658.34000003</v>
      </c>
    </row>
    <row r="118" spans="1:15">
      <c r="A118" s="25">
        <v>2008</v>
      </c>
      <c r="B118" s="28" t="s">
        <v>11</v>
      </c>
      <c r="C118" s="38">
        <v>19664835.32</v>
      </c>
      <c r="D118" s="39">
        <v>16710551.51</v>
      </c>
      <c r="E118" s="39">
        <v>14123375.220000001</v>
      </c>
      <c r="F118" s="39">
        <v>81189005.790000007</v>
      </c>
      <c r="G118" s="39">
        <v>89909932.030000001</v>
      </c>
      <c r="H118" s="40">
        <f t="shared" si="20"/>
        <v>221597699.87</v>
      </c>
      <c r="I118" s="41">
        <v>14751292.630000001</v>
      </c>
      <c r="J118" s="42">
        <v>53391961.829999991</v>
      </c>
      <c r="K118" s="39">
        <v>14945670.050000001</v>
      </c>
      <c r="L118" s="39">
        <v>7432219.0700000003</v>
      </c>
      <c r="M118" s="39">
        <v>70497860.069999993</v>
      </c>
      <c r="N118" s="39">
        <v>150147135.31</v>
      </c>
      <c r="O118" s="43">
        <f t="shared" si="18"/>
        <v>311166138.95999998</v>
      </c>
    </row>
    <row r="119" spans="1:15">
      <c r="A119" s="25">
        <v>2008</v>
      </c>
      <c r="B119" s="28" t="s">
        <v>12</v>
      </c>
      <c r="C119" s="38">
        <v>19306524.859999999</v>
      </c>
      <c r="D119" s="39">
        <v>14555239.640000001</v>
      </c>
      <c r="E119" s="39">
        <v>11502356.300000001</v>
      </c>
      <c r="F119" s="39">
        <v>80120381.709999993</v>
      </c>
      <c r="G119" s="39">
        <v>80697820.609999999</v>
      </c>
      <c r="H119" s="40">
        <f t="shared" si="20"/>
        <v>206182323.12</v>
      </c>
      <c r="I119" s="41">
        <v>13308379.640000001</v>
      </c>
      <c r="J119" s="42">
        <v>48988280.380000003</v>
      </c>
      <c r="K119" s="39">
        <v>12714167.07</v>
      </c>
      <c r="L119" s="39">
        <v>6468929.8399999999</v>
      </c>
      <c r="M119" s="39">
        <v>65779709.539999999</v>
      </c>
      <c r="N119" s="39">
        <v>127607973.97</v>
      </c>
      <c r="O119" s="43">
        <f t="shared" si="18"/>
        <v>274867440.44</v>
      </c>
    </row>
    <row r="120" spans="1:15" ht="15.75" thickBot="1">
      <c r="A120" s="26">
        <v>2008</v>
      </c>
      <c r="B120" s="29" t="s">
        <v>13</v>
      </c>
      <c r="C120" s="51">
        <v>20593874.41</v>
      </c>
      <c r="D120" s="52">
        <v>14117855.140000001</v>
      </c>
      <c r="E120" s="52">
        <v>8420004.9800000004</v>
      </c>
      <c r="F120" s="52">
        <v>62104018.850000001</v>
      </c>
      <c r="G120" s="52">
        <v>60372973.369999997</v>
      </c>
      <c r="H120" s="53">
        <f t="shared" si="20"/>
        <v>165608726.75</v>
      </c>
      <c r="I120" s="54">
        <v>11832191.27</v>
      </c>
      <c r="J120" s="55">
        <v>43666578.359999999</v>
      </c>
      <c r="K120" s="52">
        <v>9497605.5700000003</v>
      </c>
      <c r="L120" s="52">
        <v>3115197.58</v>
      </c>
      <c r="M120" s="52">
        <v>66920736.119999997</v>
      </c>
      <c r="N120" s="52">
        <v>139912196.40000001</v>
      </c>
      <c r="O120" s="56">
        <f t="shared" si="18"/>
        <v>274944505.30000001</v>
      </c>
    </row>
    <row r="121" spans="1:15" s="3" customFormat="1" ht="16.5" thickTop="1" thickBot="1">
      <c r="A121" s="33">
        <v>2008</v>
      </c>
      <c r="B121" s="34" t="s">
        <v>14</v>
      </c>
      <c r="C121" s="45">
        <f t="shared" ref="C121:I121" si="21">SUM(C109:C120)</f>
        <v>204484550.37000003</v>
      </c>
      <c r="D121" s="46">
        <f t="shared" si="21"/>
        <v>136239115.38</v>
      </c>
      <c r="E121" s="46">
        <f t="shared" si="21"/>
        <v>148279678.41999999</v>
      </c>
      <c r="F121" s="46">
        <f t="shared" si="21"/>
        <v>846881032.93999994</v>
      </c>
      <c r="G121" s="46">
        <f t="shared" si="21"/>
        <v>884917041.78999996</v>
      </c>
      <c r="H121" s="47">
        <f t="shared" si="21"/>
        <v>2220801418.8999996</v>
      </c>
      <c r="I121" s="48">
        <f t="shared" si="21"/>
        <v>198493632.02000001</v>
      </c>
      <c r="J121" s="61">
        <v>721299265.32999992</v>
      </c>
      <c r="K121" s="58">
        <f>SUM(K109:K120)</f>
        <v>173534297.03000003</v>
      </c>
      <c r="L121" s="58">
        <f>SUM(L109:L120)</f>
        <v>112265215.49999999</v>
      </c>
      <c r="M121" s="58">
        <f>SUM(M109:M120)</f>
        <v>1183735763.05</v>
      </c>
      <c r="N121" s="58">
        <f>SUM(N109:N120)</f>
        <v>2058123056.7699997</v>
      </c>
      <c r="O121" s="62">
        <f t="shared" si="18"/>
        <v>4447451229.6999998</v>
      </c>
    </row>
    <row r="122" spans="1:15" ht="15.75" thickTop="1">
      <c r="A122" s="25">
        <v>2009</v>
      </c>
      <c r="B122" s="28" t="s">
        <v>2</v>
      </c>
      <c r="C122" s="38">
        <v>14292870.76</v>
      </c>
      <c r="D122" s="39">
        <v>12618485.640000001</v>
      </c>
      <c r="E122" s="39">
        <v>12245404.93</v>
      </c>
      <c r="F122" s="39">
        <v>58496495.719999999</v>
      </c>
      <c r="G122" s="39">
        <v>47330270.119999997</v>
      </c>
      <c r="H122" s="40">
        <f t="shared" ref="H122:H133" si="22">SUM(C122:G122)</f>
        <v>144983527.16999999</v>
      </c>
      <c r="I122" s="41">
        <v>14565436.460000001</v>
      </c>
      <c r="J122" s="42">
        <v>53271483.710000001</v>
      </c>
      <c r="K122" s="39">
        <v>8597848.5700000003</v>
      </c>
      <c r="L122" s="39">
        <v>4918437.05</v>
      </c>
      <c r="M122" s="39">
        <v>67255138.390000001</v>
      </c>
      <c r="N122" s="39">
        <v>66398545.159999996</v>
      </c>
      <c r="O122" s="43">
        <f t="shared" si="18"/>
        <v>215006889.34</v>
      </c>
    </row>
    <row r="123" spans="1:15">
      <c r="A123" s="25">
        <v>2009</v>
      </c>
      <c r="B123" s="28" t="s">
        <v>3</v>
      </c>
      <c r="C123" s="38">
        <v>11156204.75</v>
      </c>
      <c r="D123" s="39">
        <v>7663890.71</v>
      </c>
      <c r="E123" s="39">
        <v>8298297.6500000004</v>
      </c>
      <c r="F123" s="39">
        <v>49969089.560000002</v>
      </c>
      <c r="G123" s="39">
        <v>42778405.759999998</v>
      </c>
      <c r="H123" s="40">
        <f t="shared" si="22"/>
        <v>119865888.43000001</v>
      </c>
      <c r="I123" s="41">
        <v>7560072.8200000003</v>
      </c>
      <c r="J123" s="42">
        <v>28306392.240000002</v>
      </c>
      <c r="K123" s="39">
        <v>7583484.1399999997</v>
      </c>
      <c r="L123" s="39">
        <v>4512614.01</v>
      </c>
      <c r="M123" s="39">
        <v>56053109.789999999</v>
      </c>
      <c r="N123" s="39">
        <v>75972507.870000005</v>
      </c>
      <c r="O123" s="43">
        <f t="shared" si="18"/>
        <v>179988180.87</v>
      </c>
    </row>
    <row r="124" spans="1:15">
      <c r="A124" s="25">
        <v>2009</v>
      </c>
      <c r="B124" s="28" t="s">
        <v>4</v>
      </c>
      <c r="C124" s="38">
        <v>12070692.73</v>
      </c>
      <c r="D124" s="39">
        <v>9061866.4499999993</v>
      </c>
      <c r="E124" s="39">
        <v>9043455.9299999997</v>
      </c>
      <c r="F124" s="39">
        <v>58090829.840000004</v>
      </c>
      <c r="G124" s="39">
        <v>51409480.960000001</v>
      </c>
      <c r="H124" s="40">
        <f t="shared" si="22"/>
        <v>139676325.91</v>
      </c>
      <c r="I124" s="41">
        <v>8198819.9500000002</v>
      </c>
      <c r="J124" s="42">
        <v>30695654.690000001</v>
      </c>
      <c r="K124" s="39">
        <v>8603843.9299999997</v>
      </c>
      <c r="L124" s="39">
        <v>6083107.6299999999</v>
      </c>
      <c r="M124" s="39">
        <v>61851485.399999999</v>
      </c>
      <c r="N124" s="39">
        <v>85470376.159999996</v>
      </c>
      <c r="O124" s="43">
        <f t="shared" si="18"/>
        <v>200903287.75999999</v>
      </c>
    </row>
    <row r="125" spans="1:15">
      <c r="A125" s="25">
        <v>2009</v>
      </c>
      <c r="B125" s="28" t="s">
        <v>5</v>
      </c>
      <c r="C125" s="38">
        <v>12571913.449999999</v>
      </c>
      <c r="D125" s="39">
        <v>9214508.0800000001</v>
      </c>
      <c r="E125" s="39">
        <v>9495224.7899999991</v>
      </c>
      <c r="F125" s="39">
        <v>54996996.57</v>
      </c>
      <c r="G125" s="39">
        <v>51040611.659999996</v>
      </c>
      <c r="H125" s="40">
        <f t="shared" si="22"/>
        <v>137319254.55000001</v>
      </c>
      <c r="I125" s="41">
        <v>8188411.8399999999</v>
      </c>
      <c r="J125" s="42">
        <v>30438207.52</v>
      </c>
      <c r="K125" s="39">
        <v>7871911.04</v>
      </c>
      <c r="L125" s="39">
        <v>6606715.1600000001</v>
      </c>
      <c r="M125" s="39">
        <v>60976089.329999998</v>
      </c>
      <c r="N125" s="39">
        <v>81637928.530000001</v>
      </c>
      <c r="O125" s="43">
        <f t="shared" si="18"/>
        <v>195719263.42000002</v>
      </c>
    </row>
    <row r="126" spans="1:15">
      <c r="A126" s="25">
        <v>2009</v>
      </c>
      <c r="B126" s="28" t="s">
        <v>6</v>
      </c>
      <c r="C126" s="38">
        <v>12666800.42</v>
      </c>
      <c r="D126" s="39">
        <v>9036262.3900000006</v>
      </c>
      <c r="E126" s="39">
        <v>10830090.34</v>
      </c>
      <c r="F126" s="39">
        <v>57269486.969999999</v>
      </c>
      <c r="G126" s="39">
        <v>53670855.799999997</v>
      </c>
      <c r="H126" s="40">
        <f t="shared" si="22"/>
        <v>143473495.92000002</v>
      </c>
      <c r="I126" s="41">
        <v>9320102.2599999998</v>
      </c>
      <c r="J126" s="42">
        <v>34414260.950000003</v>
      </c>
      <c r="K126" s="39">
        <v>8164232.9400000004</v>
      </c>
      <c r="L126" s="39">
        <v>6171226.0099999998</v>
      </c>
      <c r="M126" s="39">
        <v>65360761.109999999</v>
      </c>
      <c r="N126" s="39">
        <v>67270637.510000005</v>
      </c>
      <c r="O126" s="43">
        <f t="shared" si="18"/>
        <v>190701220.78</v>
      </c>
    </row>
    <row r="127" spans="1:15">
      <c r="A127" s="25">
        <v>2009</v>
      </c>
      <c r="B127" s="28" t="s">
        <v>7</v>
      </c>
      <c r="C127" s="38">
        <v>13204443.300000001</v>
      </c>
      <c r="D127" s="39">
        <v>10493652.449999999</v>
      </c>
      <c r="E127" s="39">
        <v>11295754.470000001</v>
      </c>
      <c r="F127" s="39">
        <v>49385774.359999999</v>
      </c>
      <c r="G127" s="39">
        <v>49676451.619999997</v>
      </c>
      <c r="H127" s="40">
        <f t="shared" si="22"/>
        <v>134056076.19999999</v>
      </c>
      <c r="I127" s="41">
        <v>7670122.6600000001</v>
      </c>
      <c r="J127" s="42">
        <v>28453606.290000003</v>
      </c>
      <c r="K127" s="39">
        <v>8078269.8700000001</v>
      </c>
      <c r="L127" s="39">
        <v>6030990.1399999997</v>
      </c>
      <c r="M127" s="39">
        <v>58661661.079999998</v>
      </c>
      <c r="N127" s="39">
        <v>64231704.469999999</v>
      </c>
      <c r="O127" s="43">
        <f t="shared" si="18"/>
        <v>173126354.50999999</v>
      </c>
    </row>
    <row r="128" spans="1:15">
      <c r="A128" s="25">
        <v>2009</v>
      </c>
      <c r="B128" s="28" t="s">
        <v>8</v>
      </c>
      <c r="C128" s="38">
        <v>13812517.99</v>
      </c>
      <c r="D128" s="39">
        <v>9821607.0299999993</v>
      </c>
      <c r="E128" s="39">
        <v>10953259.220000001</v>
      </c>
      <c r="F128" s="39">
        <v>49113156.82</v>
      </c>
      <c r="G128" s="39">
        <v>47961775.770000003</v>
      </c>
      <c r="H128" s="40">
        <f t="shared" si="22"/>
        <v>131662316.83000001</v>
      </c>
      <c r="I128" s="41">
        <v>7915686.0899999999</v>
      </c>
      <c r="J128" s="42">
        <v>29516942.599999998</v>
      </c>
      <c r="K128" s="39">
        <v>7634265.7199999997</v>
      </c>
      <c r="L128" s="39">
        <v>5496793.3799999999</v>
      </c>
      <c r="M128" s="39">
        <v>54700273.189999998</v>
      </c>
      <c r="N128" s="39">
        <v>63925809.270000003</v>
      </c>
      <c r="O128" s="43">
        <f t="shared" si="18"/>
        <v>169189770.25</v>
      </c>
    </row>
    <row r="129" spans="1:15">
      <c r="A129" s="25">
        <v>2009</v>
      </c>
      <c r="B129" s="28" t="s">
        <v>9</v>
      </c>
      <c r="C129" s="38">
        <v>13044914.02</v>
      </c>
      <c r="D129" s="39">
        <v>10570773.869999999</v>
      </c>
      <c r="E129" s="39">
        <v>11161871.24</v>
      </c>
      <c r="F129" s="39">
        <v>48000385.729999997</v>
      </c>
      <c r="G129" s="39">
        <v>48091766.119999997</v>
      </c>
      <c r="H129" s="40">
        <f t="shared" si="22"/>
        <v>130869710.97999999</v>
      </c>
      <c r="I129" s="41">
        <v>8245041.9000000004</v>
      </c>
      <c r="J129" s="42">
        <v>30658087.07</v>
      </c>
      <c r="K129" s="39">
        <v>8695846.8499999996</v>
      </c>
      <c r="L129" s="39">
        <v>5678032.2400000002</v>
      </c>
      <c r="M129" s="39">
        <v>55372889.100000001</v>
      </c>
      <c r="N129" s="39">
        <v>89049963.760000005</v>
      </c>
      <c r="O129" s="43">
        <f t="shared" si="18"/>
        <v>197699860.92000002</v>
      </c>
    </row>
    <row r="130" spans="1:15">
      <c r="A130" s="25">
        <v>2009</v>
      </c>
      <c r="B130" s="28" t="s">
        <v>10</v>
      </c>
      <c r="C130" s="38">
        <v>13440879.5</v>
      </c>
      <c r="D130" s="39">
        <v>10028753.130000001</v>
      </c>
      <c r="E130" s="39">
        <v>9687234.5099999998</v>
      </c>
      <c r="F130" s="39">
        <v>46007114.719999999</v>
      </c>
      <c r="G130" s="39">
        <v>46109412.969999999</v>
      </c>
      <c r="H130" s="40">
        <f t="shared" si="22"/>
        <v>125273394.83</v>
      </c>
      <c r="I130" s="41">
        <v>9915227.8100000005</v>
      </c>
      <c r="J130" s="42">
        <v>36475766.909999996</v>
      </c>
      <c r="K130" s="39">
        <v>8297439.1699999999</v>
      </c>
      <c r="L130" s="39">
        <v>5076384.1100000003</v>
      </c>
      <c r="M130" s="39">
        <v>55943559.479999997</v>
      </c>
      <c r="N130" s="39">
        <v>89672442.510000005</v>
      </c>
      <c r="O130" s="43">
        <f t="shared" si="18"/>
        <v>205380819.99000001</v>
      </c>
    </row>
    <row r="131" spans="1:15">
      <c r="A131" s="25">
        <v>2009</v>
      </c>
      <c r="B131" s="28" t="s">
        <v>11</v>
      </c>
      <c r="C131" s="38">
        <v>13068486.59</v>
      </c>
      <c r="D131" s="39">
        <v>12780690.57</v>
      </c>
      <c r="E131" s="39">
        <v>8255232.46</v>
      </c>
      <c r="F131" s="39">
        <v>53002330.479999997</v>
      </c>
      <c r="G131" s="39">
        <v>51119296</v>
      </c>
      <c r="H131" s="40">
        <f t="shared" si="22"/>
        <v>138226036.09999999</v>
      </c>
      <c r="I131" s="41">
        <v>11306873.550000001</v>
      </c>
      <c r="J131" s="42">
        <v>41566174.929999992</v>
      </c>
      <c r="K131" s="39">
        <v>8938379.3399999999</v>
      </c>
      <c r="L131" s="39">
        <v>4793144.32</v>
      </c>
      <c r="M131" s="39">
        <v>66032295.359999999</v>
      </c>
      <c r="N131" s="39">
        <v>106201711.59999999</v>
      </c>
      <c r="O131" s="43">
        <f t="shared" si="18"/>
        <v>238838579.09999999</v>
      </c>
    </row>
    <row r="132" spans="1:15">
      <c r="A132" s="25">
        <v>2009</v>
      </c>
      <c r="B132" s="28" t="s">
        <v>12</v>
      </c>
      <c r="C132" s="38">
        <v>13771323.33</v>
      </c>
      <c r="D132" s="39">
        <v>14243686.189999999</v>
      </c>
      <c r="E132" s="39">
        <v>6668242.5099999998</v>
      </c>
      <c r="F132" s="39">
        <v>66430126.439999998</v>
      </c>
      <c r="G132" s="39">
        <v>59132820.530000001</v>
      </c>
      <c r="H132" s="40">
        <f t="shared" si="22"/>
        <v>160246199</v>
      </c>
      <c r="I132" s="41">
        <v>12200727.119999999</v>
      </c>
      <c r="J132" s="42">
        <v>45148287.370000005</v>
      </c>
      <c r="K132" s="39">
        <v>8904540</v>
      </c>
      <c r="L132" s="39">
        <v>3837872.09</v>
      </c>
      <c r="M132" s="39">
        <v>75515460.579999998</v>
      </c>
      <c r="N132" s="39">
        <v>104029432.09999999</v>
      </c>
      <c r="O132" s="43">
        <f t="shared" si="18"/>
        <v>249636319.25999999</v>
      </c>
    </row>
    <row r="133" spans="1:15" ht="15.75" thickBot="1">
      <c r="A133" s="26">
        <v>2009</v>
      </c>
      <c r="B133" s="29" t="s">
        <v>13</v>
      </c>
      <c r="C133" s="51">
        <v>16688646.26</v>
      </c>
      <c r="D133" s="52">
        <v>15960458.439999999</v>
      </c>
      <c r="E133" s="52">
        <v>6466198.3300000001</v>
      </c>
      <c r="F133" s="52">
        <v>69994470.879999995</v>
      </c>
      <c r="G133" s="52">
        <v>60094479.549999997</v>
      </c>
      <c r="H133" s="53">
        <f t="shared" si="22"/>
        <v>169204253.45999998</v>
      </c>
      <c r="I133" s="54">
        <v>12865107.630000001</v>
      </c>
      <c r="J133" s="42">
        <v>47193667.419999994</v>
      </c>
      <c r="K133" s="39">
        <v>10153445.26</v>
      </c>
      <c r="L133" s="39">
        <v>3811682.75</v>
      </c>
      <c r="M133" s="39">
        <v>104157909.09999999</v>
      </c>
      <c r="N133" s="39">
        <v>126169977.04000001</v>
      </c>
      <c r="O133" s="43">
        <f t="shared" ref="O133:O164" si="23">SUM(I133:N133)</f>
        <v>304351789.19999999</v>
      </c>
    </row>
    <row r="134" spans="1:15" s="3" customFormat="1" ht="16.5" thickTop="1" thickBot="1">
      <c r="A134" s="31">
        <v>2009</v>
      </c>
      <c r="B134" s="32" t="s">
        <v>14</v>
      </c>
      <c r="C134" s="57">
        <f t="shared" ref="C134:I134" si="24">SUM(C122:C133)</f>
        <v>159789693.09999999</v>
      </c>
      <c r="D134" s="58">
        <f t="shared" si="24"/>
        <v>131494634.94999999</v>
      </c>
      <c r="E134" s="58">
        <f t="shared" si="24"/>
        <v>114400266.38</v>
      </c>
      <c r="F134" s="58">
        <f t="shared" si="24"/>
        <v>660756258.09000003</v>
      </c>
      <c r="G134" s="58">
        <f t="shared" si="24"/>
        <v>608415626.8599999</v>
      </c>
      <c r="H134" s="59">
        <f t="shared" si="24"/>
        <v>1674856479.3799999</v>
      </c>
      <c r="I134" s="60">
        <f t="shared" si="24"/>
        <v>117951630.09</v>
      </c>
      <c r="J134" s="49">
        <v>436138531.70000005</v>
      </c>
      <c r="K134" s="46">
        <f>SUM(K122:K133)</f>
        <v>101523506.83</v>
      </c>
      <c r="L134" s="46">
        <f>SUM(L122:L133)</f>
        <v>63016998.890000001</v>
      </c>
      <c r="M134" s="46">
        <f>SUM(M122:M133)</f>
        <v>781880631.91000009</v>
      </c>
      <c r="N134" s="46">
        <f>SUM(N122:N133)</f>
        <v>1020031035.98</v>
      </c>
      <c r="O134" s="50">
        <f t="shared" si="23"/>
        <v>2520542335.4000001</v>
      </c>
    </row>
    <row r="135" spans="1:15" ht="15.75" thickTop="1">
      <c r="A135" s="25">
        <v>2010</v>
      </c>
      <c r="B135" s="28" t="s">
        <v>2</v>
      </c>
      <c r="C135" s="38">
        <v>16610999.16</v>
      </c>
      <c r="D135" s="39">
        <v>11252398.58</v>
      </c>
      <c r="E135" s="39">
        <v>8366051.0800000001</v>
      </c>
      <c r="F135" s="39">
        <v>74630649.920000002</v>
      </c>
      <c r="G135" s="39">
        <v>58463439.210000001</v>
      </c>
      <c r="H135" s="40">
        <f t="shared" ref="H135:H146" si="25">SUM(C135:G135)</f>
        <v>169323537.95000002</v>
      </c>
      <c r="I135" s="41">
        <v>14962488.890000001</v>
      </c>
      <c r="J135" s="42">
        <v>54854066.260000005</v>
      </c>
      <c r="K135" s="39">
        <v>10220643.4</v>
      </c>
      <c r="L135" s="39">
        <v>4866007.72</v>
      </c>
      <c r="M135" s="39">
        <v>95876997.230000004</v>
      </c>
      <c r="N135" s="39">
        <v>98026094.680000007</v>
      </c>
      <c r="O135" s="43">
        <f t="shared" si="23"/>
        <v>278806298.18000001</v>
      </c>
    </row>
    <row r="136" spans="1:15">
      <c r="A136" s="25">
        <v>2010</v>
      </c>
      <c r="B136" s="28" t="s">
        <v>3</v>
      </c>
      <c r="C136" s="38">
        <v>13732398.73</v>
      </c>
      <c r="D136" s="39">
        <v>10172407.65</v>
      </c>
      <c r="E136" s="39">
        <v>8753263.5800000001</v>
      </c>
      <c r="F136" s="39">
        <v>65374465.640000001</v>
      </c>
      <c r="G136" s="39">
        <v>50126643.840000004</v>
      </c>
      <c r="H136" s="40">
        <f t="shared" si="25"/>
        <v>148159179.44</v>
      </c>
      <c r="I136" s="41">
        <v>12411184</v>
      </c>
      <c r="J136" s="42">
        <v>45423627.359999999</v>
      </c>
      <c r="K136" s="39">
        <v>11287974.470000001</v>
      </c>
      <c r="L136" s="39">
        <v>5863008.9900000002</v>
      </c>
      <c r="M136" s="39">
        <v>79011180.969999999</v>
      </c>
      <c r="N136" s="39">
        <v>93572122.950000003</v>
      </c>
      <c r="O136" s="43">
        <f t="shared" si="23"/>
        <v>247569098.74000001</v>
      </c>
    </row>
    <row r="137" spans="1:15">
      <c r="A137" s="25">
        <v>2010</v>
      </c>
      <c r="B137" s="28" t="s">
        <v>4</v>
      </c>
      <c r="C137" s="38">
        <v>15290971.449999999</v>
      </c>
      <c r="D137" s="39">
        <v>13414977.359999999</v>
      </c>
      <c r="E137" s="39">
        <v>12755213.68</v>
      </c>
      <c r="F137" s="39">
        <v>72383940.480000004</v>
      </c>
      <c r="G137" s="39">
        <v>62901993.899999999</v>
      </c>
      <c r="H137" s="40">
        <f t="shared" si="25"/>
        <v>176747096.87</v>
      </c>
      <c r="I137" s="41">
        <v>13641379.26</v>
      </c>
      <c r="J137" s="42">
        <v>50163351.149999999</v>
      </c>
      <c r="K137" s="39">
        <v>13848242.33</v>
      </c>
      <c r="L137" s="39">
        <v>8475305.1300000008</v>
      </c>
      <c r="M137" s="39">
        <v>80754212.030000001</v>
      </c>
      <c r="N137" s="39">
        <v>77764510.590000004</v>
      </c>
      <c r="O137" s="43">
        <f t="shared" si="23"/>
        <v>244647000.48999998</v>
      </c>
    </row>
    <row r="138" spans="1:15">
      <c r="A138" s="25">
        <v>2010</v>
      </c>
      <c r="B138" s="28" t="s">
        <v>5</v>
      </c>
      <c r="C138" s="38">
        <v>16046787.699999999</v>
      </c>
      <c r="D138" s="39">
        <v>13520015.48</v>
      </c>
      <c r="E138" s="39">
        <v>15058501.07</v>
      </c>
      <c r="F138" s="39">
        <v>70174660.989999995</v>
      </c>
      <c r="G138" s="39">
        <v>63878011.539999999</v>
      </c>
      <c r="H138" s="40">
        <f t="shared" si="25"/>
        <v>178677976.78</v>
      </c>
      <c r="I138" s="41">
        <v>10312488.060000001</v>
      </c>
      <c r="J138" s="42">
        <v>38153888.460000001</v>
      </c>
      <c r="K138" s="39">
        <v>10444609.220000001</v>
      </c>
      <c r="L138" s="39">
        <v>7220400.1200000001</v>
      </c>
      <c r="M138" s="39">
        <v>88542625.390000001</v>
      </c>
      <c r="N138" s="39">
        <v>86839890.510000005</v>
      </c>
      <c r="O138" s="43">
        <f t="shared" si="23"/>
        <v>241513901.75999999</v>
      </c>
    </row>
    <row r="139" spans="1:15">
      <c r="A139" s="25">
        <v>2010</v>
      </c>
      <c r="B139" s="28" t="s">
        <v>6</v>
      </c>
      <c r="C139" s="38">
        <v>16019294.119999999</v>
      </c>
      <c r="D139" s="39">
        <v>14930956.52</v>
      </c>
      <c r="E139" s="39">
        <v>14875485.949999999</v>
      </c>
      <c r="F139" s="39">
        <v>75423509.870000005</v>
      </c>
      <c r="G139" s="39">
        <v>69206652.859999999</v>
      </c>
      <c r="H139" s="40">
        <f t="shared" si="25"/>
        <v>190455899.31999999</v>
      </c>
      <c r="I139" s="41">
        <v>11123244.199999999</v>
      </c>
      <c r="J139" s="42">
        <v>40816995.25</v>
      </c>
      <c r="K139" s="39">
        <v>11147270.720000001</v>
      </c>
      <c r="L139" s="39">
        <v>7314055.4400000004</v>
      </c>
      <c r="M139" s="39">
        <v>94750200.120000005</v>
      </c>
      <c r="N139" s="39">
        <v>87122724</v>
      </c>
      <c r="O139" s="43">
        <f t="shared" si="23"/>
        <v>252274489.73000002</v>
      </c>
    </row>
    <row r="140" spans="1:15">
      <c r="A140" s="25">
        <v>2010</v>
      </c>
      <c r="B140" s="28" t="s">
        <v>7</v>
      </c>
      <c r="C140" s="38">
        <v>16764384.310000001</v>
      </c>
      <c r="D140" s="39">
        <v>16356287.810000001</v>
      </c>
      <c r="E140" s="39">
        <v>16578836.66</v>
      </c>
      <c r="F140" s="39">
        <v>67990667.769999996</v>
      </c>
      <c r="G140" s="39">
        <v>68726804.090000004</v>
      </c>
      <c r="H140" s="40">
        <f t="shared" si="25"/>
        <v>186416980.63999999</v>
      </c>
      <c r="I140" s="41">
        <v>10197568.710000001</v>
      </c>
      <c r="J140" s="42">
        <v>37449890.57</v>
      </c>
      <c r="K140" s="39">
        <v>11496560.34</v>
      </c>
      <c r="L140" s="39">
        <v>7781456.4800000004</v>
      </c>
      <c r="M140" s="39">
        <v>101304121.45</v>
      </c>
      <c r="N140" s="39">
        <v>82747920.230000004</v>
      </c>
      <c r="O140" s="43">
        <f t="shared" si="23"/>
        <v>250977517.78000003</v>
      </c>
    </row>
    <row r="141" spans="1:15">
      <c r="A141" s="25">
        <v>2010</v>
      </c>
      <c r="B141" s="28" t="s">
        <v>8</v>
      </c>
      <c r="C141" s="38">
        <v>16765924.789999999</v>
      </c>
      <c r="D141" s="39">
        <v>15197579.99</v>
      </c>
      <c r="E141" s="39">
        <v>14618790.18</v>
      </c>
      <c r="F141" s="39">
        <v>74677448.819999993</v>
      </c>
      <c r="G141" s="39">
        <v>79250907.459999993</v>
      </c>
      <c r="H141" s="40">
        <f t="shared" si="25"/>
        <v>200510651.24000001</v>
      </c>
      <c r="I141" s="41">
        <v>11972539.220000001</v>
      </c>
      <c r="J141" s="42">
        <v>43670317.329999998</v>
      </c>
      <c r="K141" s="39">
        <v>11336130.09</v>
      </c>
      <c r="L141" s="39">
        <v>7088402.9500000002</v>
      </c>
      <c r="M141" s="39">
        <v>91486404.239999995</v>
      </c>
      <c r="N141" s="39">
        <v>93868933.909999996</v>
      </c>
      <c r="O141" s="43">
        <f t="shared" si="23"/>
        <v>259422727.73999998</v>
      </c>
    </row>
    <row r="142" spans="1:15">
      <c r="A142" s="25">
        <v>2010</v>
      </c>
      <c r="B142" s="28" t="s">
        <v>9</v>
      </c>
      <c r="C142" s="38">
        <v>19969420.449999999</v>
      </c>
      <c r="D142" s="39">
        <v>17555002.629999999</v>
      </c>
      <c r="E142" s="39">
        <v>19381927.34</v>
      </c>
      <c r="F142" s="39">
        <v>75507886.870000005</v>
      </c>
      <c r="G142" s="39">
        <v>90055847.730000004</v>
      </c>
      <c r="H142" s="40">
        <f t="shared" si="25"/>
        <v>222470085.02000001</v>
      </c>
      <c r="I142" s="41">
        <v>12139775.49</v>
      </c>
      <c r="J142" s="42">
        <v>44428822.609999999</v>
      </c>
      <c r="K142" s="39">
        <v>13094988.779999999</v>
      </c>
      <c r="L142" s="39">
        <v>8673173.2400000002</v>
      </c>
      <c r="M142" s="39">
        <v>80921677.780000001</v>
      </c>
      <c r="N142" s="39">
        <v>100889191.45</v>
      </c>
      <c r="O142" s="43">
        <f t="shared" si="23"/>
        <v>260147629.34999996</v>
      </c>
    </row>
    <row r="143" spans="1:15">
      <c r="A143" s="25">
        <v>2010</v>
      </c>
      <c r="B143" s="28" t="s">
        <v>10</v>
      </c>
      <c r="C143" s="38">
        <v>20979612.620000001</v>
      </c>
      <c r="D143" s="39">
        <v>19042745.73</v>
      </c>
      <c r="E143" s="39">
        <v>16541924.93</v>
      </c>
      <c r="F143" s="39">
        <v>88974959.530000001</v>
      </c>
      <c r="G143" s="39">
        <v>104783655.06</v>
      </c>
      <c r="H143" s="40">
        <f t="shared" si="25"/>
        <v>250322897.87</v>
      </c>
      <c r="I143" s="41">
        <v>11619491.710000001</v>
      </c>
      <c r="J143" s="42">
        <v>42683078.009999998</v>
      </c>
      <c r="K143" s="39">
        <v>13350082.960000001</v>
      </c>
      <c r="L143" s="39">
        <v>7420790.6100000003</v>
      </c>
      <c r="M143" s="39">
        <v>73884609.859999999</v>
      </c>
      <c r="N143" s="39">
        <v>95941222.219999999</v>
      </c>
      <c r="O143" s="43">
        <f t="shared" si="23"/>
        <v>244899275.37</v>
      </c>
    </row>
    <row r="144" spans="1:15">
      <c r="A144" s="25">
        <v>2010</v>
      </c>
      <c r="B144" s="28" t="s">
        <v>11</v>
      </c>
      <c r="C144" s="38">
        <v>25732504.469999999</v>
      </c>
      <c r="D144" s="39">
        <v>24507520.199999999</v>
      </c>
      <c r="E144" s="39">
        <v>15336342.07</v>
      </c>
      <c r="F144" s="39">
        <v>100498010.34999999</v>
      </c>
      <c r="G144" s="39">
        <v>101528249.81</v>
      </c>
      <c r="H144" s="40">
        <f t="shared" si="25"/>
        <v>267602626.90000001</v>
      </c>
      <c r="I144" s="41">
        <v>11501096.310000001</v>
      </c>
      <c r="J144" s="42">
        <v>42378569.199999996</v>
      </c>
      <c r="K144" s="39">
        <v>11278079.58</v>
      </c>
      <c r="L144" s="39">
        <v>5555029.7999999998</v>
      </c>
      <c r="M144" s="39">
        <v>80345067.709999993</v>
      </c>
      <c r="N144" s="39">
        <v>99019582.969999999</v>
      </c>
      <c r="O144" s="43">
        <f t="shared" si="23"/>
        <v>250077425.56999999</v>
      </c>
    </row>
    <row r="145" spans="1:15">
      <c r="A145" s="25">
        <v>2010</v>
      </c>
      <c r="B145" s="28" t="s">
        <v>12</v>
      </c>
      <c r="C145" s="38">
        <v>26090222.41</v>
      </c>
      <c r="D145" s="39">
        <v>23321058.039999999</v>
      </c>
      <c r="E145" s="39">
        <v>11152053.609999999</v>
      </c>
      <c r="F145" s="39">
        <v>93938548.900000006</v>
      </c>
      <c r="G145" s="39">
        <v>94860879.609999999</v>
      </c>
      <c r="H145" s="40">
        <f t="shared" si="25"/>
        <v>249362762.56999999</v>
      </c>
      <c r="I145" s="41">
        <v>11475812.49</v>
      </c>
      <c r="J145" s="42">
        <v>42378701.75</v>
      </c>
      <c r="K145" s="39">
        <v>11701791.59</v>
      </c>
      <c r="L145" s="39">
        <v>4563922.93</v>
      </c>
      <c r="M145" s="39">
        <v>85240840.849999994</v>
      </c>
      <c r="N145" s="39">
        <v>74110492.299999997</v>
      </c>
      <c r="O145" s="43">
        <f t="shared" si="23"/>
        <v>229471561.90999997</v>
      </c>
    </row>
    <row r="146" spans="1:15" ht="15.75" thickBot="1">
      <c r="A146" s="25">
        <v>2010</v>
      </c>
      <c r="B146" s="28" t="s">
        <v>13</v>
      </c>
      <c r="C146" s="38">
        <v>25473583.449999999</v>
      </c>
      <c r="D146" s="39">
        <v>20284311.280000001</v>
      </c>
      <c r="E146" s="39">
        <v>10132874.34</v>
      </c>
      <c r="F146" s="39">
        <v>83839460.540000007</v>
      </c>
      <c r="G146" s="39">
        <v>74342032.510000005</v>
      </c>
      <c r="H146" s="40">
        <f t="shared" si="25"/>
        <v>214072262.12</v>
      </c>
      <c r="I146" s="41">
        <v>11703114.41</v>
      </c>
      <c r="J146" s="55">
        <v>43295166.349999994</v>
      </c>
      <c r="K146" s="52">
        <v>11308581.77</v>
      </c>
      <c r="L146" s="52">
        <v>3902831.05</v>
      </c>
      <c r="M146" s="52">
        <v>93138505.760000005</v>
      </c>
      <c r="N146" s="52">
        <v>84838893.959999993</v>
      </c>
      <c r="O146" s="56">
        <f t="shared" si="23"/>
        <v>248187093.29999995</v>
      </c>
    </row>
    <row r="147" spans="1:15" s="3" customFormat="1" ht="16.5" thickTop="1" thickBot="1">
      <c r="A147" s="33">
        <v>2010</v>
      </c>
      <c r="B147" s="34" t="s">
        <v>14</v>
      </c>
      <c r="C147" s="45">
        <f t="shared" ref="C147:I147" si="26">SUM(C135:C146)</f>
        <v>229476103.66</v>
      </c>
      <c r="D147" s="46">
        <f t="shared" si="26"/>
        <v>199555261.26999998</v>
      </c>
      <c r="E147" s="46">
        <f t="shared" si="26"/>
        <v>163551264.48999998</v>
      </c>
      <c r="F147" s="46">
        <f t="shared" si="26"/>
        <v>943414209.67999995</v>
      </c>
      <c r="G147" s="46">
        <f t="shared" si="26"/>
        <v>918125117.62</v>
      </c>
      <c r="H147" s="47">
        <f t="shared" si="26"/>
        <v>2454121956.7199998</v>
      </c>
      <c r="I147" s="48">
        <f t="shared" si="26"/>
        <v>143060182.75</v>
      </c>
      <c r="J147" s="61">
        <v>525696474.30000007</v>
      </c>
      <c r="K147" s="58">
        <f>SUM(K135:K146)</f>
        <v>140514955.25</v>
      </c>
      <c r="L147" s="58">
        <f>SUM(L135:L146)</f>
        <v>78724384.460000023</v>
      </c>
      <c r="M147" s="58">
        <f>SUM(M135:M146)</f>
        <v>1045256443.3900001</v>
      </c>
      <c r="N147" s="58">
        <f>SUM(N135:N146)</f>
        <v>1074741579.77</v>
      </c>
      <c r="O147" s="62">
        <f t="shared" si="23"/>
        <v>3007994019.9200001</v>
      </c>
    </row>
    <row r="148" spans="1:15" ht="15.75" thickTop="1">
      <c r="A148" s="25">
        <v>2011</v>
      </c>
      <c r="B148" s="28" t="s">
        <v>2</v>
      </c>
      <c r="C148" s="38">
        <v>17626724.780000001</v>
      </c>
      <c r="D148" s="39">
        <v>16730361.109999999</v>
      </c>
      <c r="E148" s="39">
        <v>13916922.619999999</v>
      </c>
      <c r="F148" s="39">
        <v>111676931.26000001</v>
      </c>
      <c r="G148" s="39">
        <v>101937298.03</v>
      </c>
      <c r="H148" s="40">
        <f t="shared" ref="H148:H159" si="27">SUM(C148:G148)</f>
        <v>261888237.80000001</v>
      </c>
      <c r="I148" s="41">
        <v>12159961.43</v>
      </c>
      <c r="J148" s="42">
        <v>44878873.350000001</v>
      </c>
      <c r="K148" s="39">
        <v>11278576.68</v>
      </c>
      <c r="L148" s="39">
        <v>5804030.7199999997</v>
      </c>
      <c r="M148" s="39">
        <v>97411503.109999999</v>
      </c>
      <c r="N148" s="39">
        <v>77713631.840000004</v>
      </c>
      <c r="O148" s="43">
        <f t="shared" si="23"/>
        <v>249246577.13000003</v>
      </c>
    </row>
    <row r="149" spans="1:15">
      <c r="A149" s="25">
        <v>2011</v>
      </c>
      <c r="B149" s="28" t="s">
        <v>3</v>
      </c>
      <c r="C149" s="38">
        <v>18056556.739999998</v>
      </c>
      <c r="D149" s="39">
        <v>15922854.08</v>
      </c>
      <c r="E149" s="39">
        <v>13634803.130000001</v>
      </c>
      <c r="F149" s="39">
        <v>106797130.01000001</v>
      </c>
      <c r="G149" s="39">
        <v>97585729.980000004</v>
      </c>
      <c r="H149" s="40">
        <f t="shared" si="27"/>
        <v>251997073.94</v>
      </c>
      <c r="I149" s="41">
        <v>10484478.060000001</v>
      </c>
      <c r="J149" s="42">
        <v>38552882.82</v>
      </c>
      <c r="K149" s="39">
        <v>11423759.32</v>
      </c>
      <c r="L149" s="39">
        <v>6868005.5999999996</v>
      </c>
      <c r="M149" s="39">
        <v>100941879.29000001</v>
      </c>
      <c r="N149" s="39">
        <v>124610918.03</v>
      </c>
      <c r="O149" s="43">
        <f t="shared" si="23"/>
        <v>292881923.12</v>
      </c>
    </row>
    <row r="150" spans="1:15">
      <c r="A150" s="25">
        <v>2011</v>
      </c>
      <c r="B150" s="28" t="s">
        <v>4</v>
      </c>
      <c r="C150" s="38">
        <v>23891999.440000001</v>
      </c>
      <c r="D150" s="39">
        <v>18770375.809999999</v>
      </c>
      <c r="E150" s="39">
        <v>18601152.719999999</v>
      </c>
      <c r="F150" s="39">
        <v>115887201.34</v>
      </c>
      <c r="G150" s="39">
        <v>109819412.09999999</v>
      </c>
      <c r="H150" s="40">
        <f t="shared" si="27"/>
        <v>286970141.40999997</v>
      </c>
      <c r="I150" s="41">
        <v>13234773.029999999</v>
      </c>
      <c r="J150" s="42">
        <v>48597627.07</v>
      </c>
      <c r="K150" s="39">
        <v>12454796.24</v>
      </c>
      <c r="L150" s="39">
        <v>8756095.5099999998</v>
      </c>
      <c r="M150" s="39">
        <v>130123392.88</v>
      </c>
      <c r="N150" s="39">
        <v>134183374.34</v>
      </c>
      <c r="O150" s="43">
        <f t="shared" si="23"/>
        <v>347350059.07000005</v>
      </c>
    </row>
    <row r="151" spans="1:15">
      <c r="A151" s="25">
        <v>2011</v>
      </c>
      <c r="B151" s="28" t="s">
        <v>5</v>
      </c>
      <c r="C151" s="38">
        <v>21387187.940000001</v>
      </c>
      <c r="D151" s="39">
        <v>17505739.829999998</v>
      </c>
      <c r="E151" s="39">
        <v>17148628.780000001</v>
      </c>
      <c r="F151" s="39">
        <v>113203086.18000001</v>
      </c>
      <c r="G151" s="39">
        <v>102806785.22</v>
      </c>
      <c r="H151" s="40">
        <f t="shared" si="27"/>
        <v>272051427.95000005</v>
      </c>
      <c r="I151" s="41">
        <v>14404968.199999999</v>
      </c>
      <c r="J151" s="42">
        <v>52391423.310000002</v>
      </c>
      <c r="K151" s="39">
        <v>13999107.01</v>
      </c>
      <c r="L151" s="39">
        <v>8780032.6300000008</v>
      </c>
      <c r="M151" s="39">
        <v>141730581.68000001</v>
      </c>
      <c r="N151" s="39">
        <v>101937610.13</v>
      </c>
      <c r="O151" s="43">
        <f t="shared" si="23"/>
        <v>333243722.96000004</v>
      </c>
    </row>
    <row r="152" spans="1:15">
      <c r="A152" s="25">
        <v>2011</v>
      </c>
      <c r="B152" s="28" t="s">
        <v>6</v>
      </c>
      <c r="C152" s="38">
        <v>21960732.890000001</v>
      </c>
      <c r="D152" s="39">
        <v>20763715.559999999</v>
      </c>
      <c r="E152" s="39">
        <v>17273674.73</v>
      </c>
      <c r="F152" s="39">
        <v>119279474.16</v>
      </c>
      <c r="G152" s="39">
        <v>109756144.95</v>
      </c>
      <c r="H152" s="40">
        <f t="shared" si="27"/>
        <v>289033742.29000002</v>
      </c>
      <c r="I152" s="41">
        <v>15114314.539999999</v>
      </c>
      <c r="J152" s="42">
        <v>55022057.880000003</v>
      </c>
      <c r="K152" s="39">
        <v>14899601.279999999</v>
      </c>
      <c r="L152" s="39">
        <v>9372002.4100000001</v>
      </c>
      <c r="M152" s="39">
        <v>147746335.91</v>
      </c>
      <c r="N152" s="39">
        <v>110167434.81</v>
      </c>
      <c r="O152" s="43">
        <f t="shared" si="23"/>
        <v>352321746.82999998</v>
      </c>
    </row>
    <row r="153" spans="1:15">
      <c r="A153" s="25">
        <v>2011</v>
      </c>
      <c r="B153" s="28" t="s">
        <v>7</v>
      </c>
      <c r="C153" s="38">
        <v>21438453.390000001</v>
      </c>
      <c r="D153" s="39">
        <v>22023467.129999999</v>
      </c>
      <c r="E153" s="39">
        <v>22315541.390000001</v>
      </c>
      <c r="F153" s="39">
        <v>108566989.06999999</v>
      </c>
      <c r="G153" s="39">
        <v>108376538.23</v>
      </c>
      <c r="H153" s="40">
        <f t="shared" si="27"/>
        <v>282720989.20999998</v>
      </c>
      <c r="I153" s="41">
        <v>14042005.07</v>
      </c>
      <c r="J153" s="42">
        <v>51033796.149999999</v>
      </c>
      <c r="K153" s="39">
        <v>17636369.989999998</v>
      </c>
      <c r="L153" s="39">
        <v>11460351.4</v>
      </c>
      <c r="M153" s="39">
        <v>148143893.22999999</v>
      </c>
      <c r="N153" s="39">
        <v>159009628.56</v>
      </c>
      <c r="O153" s="43">
        <f t="shared" si="23"/>
        <v>401326044.39999998</v>
      </c>
    </row>
    <row r="154" spans="1:15">
      <c r="A154" s="25">
        <v>2011</v>
      </c>
      <c r="B154" s="28" t="s">
        <v>8</v>
      </c>
      <c r="C154" s="38">
        <v>22218749.75</v>
      </c>
      <c r="D154" s="39">
        <v>20360067.57</v>
      </c>
      <c r="E154" s="39">
        <v>20918315.09</v>
      </c>
      <c r="F154" s="39">
        <v>101771446.44</v>
      </c>
      <c r="G154" s="39">
        <v>103731971.92</v>
      </c>
      <c r="H154" s="40">
        <f t="shared" si="27"/>
        <v>269000550.76999998</v>
      </c>
      <c r="I154" s="41">
        <v>14242600.49</v>
      </c>
      <c r="J154" s="42">
        <v>51735966.850000001</v>
      </c>
      <c r="K154" s="39">
        <v>17324936.09</v>
      </c>
      <c r="L154" s="39">
        <v>11096124.24</v>
      </c>
      <c r="M154" s="39">
        <v>144319066.88</v>
      </c>
      <c r="N154" s="39">
        <v>177388928</v>
      </c>
      <c r="O154" s="43">
        <f t="shared" si="23"/>
        <v>416107622.55000001</v>
      </c>
    </row>
    <row r="155" spans="1:15">
      <c r="A155" s="25">
        <v>2011</v>
      </c>
      <c r="B155" s="28" t="s">
        <v>9</v>
      </c>
      <c r="C155" s="38">
        <v>23044198.789999999</v>
      </c>
      <c r="D155" s="39">
        <v>19823365.02</v>
      </c>
      <c r="E155" s="39">
        <v>21900276.219999999</v>
      </c>
      <c r="F155" s="39">
        <v>101017280.37</v>
      </c>
      <c r="G155" s="39">
        <v>109688829.79000001</v>
      </c>
      <c r="H155" s="40">
        <f t="shared" si="27"/>
        <v>275473950.19</v>
      </c>
      <c r="I155" s="41">
        <v>17416586.75</v>
      </c>
      <c r="J155" s="42">
        <v>63295336.879999995</v>
      </c>
      <c r="K155" s="39">
        <v>18280147.84</v>
      </c>
      <c r="L155" s="39">
        <v>11689159.15</v>
      </c>
      <c r="M155" s="39">
        <v>130250267.42</v>
      </c>
      <c r="N155" s="39">
        <v>165562204.88999999</v>
      </c>
      <c r="O155" s="43">
        <f t="shared" si="23"/>
        <v>406493702.93000001</v>
      </c>
    </row>
    <row r="156" spans="1:15">
      <c r="A156" s="25">
        <v>2011</v>
      </c>
      <c r="B156" s="28" t="s">
        <v>10</v>
      </c>
      <c r="C156" s="38">
        <v>22929407.120000001</v>
      </c>
      <c r="D156" s="39">
        <v>18748263.68</v>
      </c>
      <c r="E156" s="39">
        <v>16944782.489999998</v>
      </c>
      <c r="F156" s="39">
        <v>90269367.299999997</v>
      </c>
      <c r="G156" s="39">
        <v>95199490.010000005</v>
      </c>
      <c r="H156" s="40">
        <f t="shared" si="27"/>
        <v>244091310.59999996</v>
      </c>
      <c r="I156" s="41">
        <v>17505337.140000001</v>
      </c>
      <c r="J156" s="42">
        <v>63604496.679999992</v>
      </c>
      <c r="K156" s="39">
        <v>17170086</v>
      </c>
      <c r="L156" s="39">
        <v>9230763.3200000003</v>
      </c>
      <c r="M156" s="39">
        <v>118394574.63</v>
      </c>
      <c r="N156" s="39">
        <v>134839092.12</v>
      </c>
      <c r="O156" s="43">
        <f t="shared" si="23"/>
        <v>360744349.88999999</v>
      </c>
    </row>
    <row r="157" spans="1:15">
      <c r="A157" s="25">
        <v>2011</v>
      </c>
      <c r="B157" s="28" t="s">
        <v>11</v>
      </c>
      <c r="C157" s="38">
        <v>22697398.68</v>
      </c>
      <c r="D157" s="39">
        <v>20548050.039999999</v>
      </c>
      <c r="E157" s="39">
        <v>15152420.16</v>
      </c>
      <c r="F157" s="39">
        <v>89435897.010000005</v>
      </c>
      <c r="G157" s="39">
        <v>91717898.560000002</v>
      </c>
      <c r="H157" s="40">
        <f t="shared" si="27"/>
        <v>239551664.44999999</v>
      </c>
      <c r="I157" s="41">
        <v>15780291.33</v>
      </c>
      <c r="J157" s="42">
        <v>57904949.519999996</v>
      </c>
      <c r="K157" s="39">
        <v>17761424.510000002</v>
      </c>
      <c r="L157" s="39">
        <v>8899720.6999999993</v>
      </c>
      <c r="M157" s="39">
        <v>118381382.31</v>
      </c>
      <c r="N157" s="39">
        <v>141995641.97999999</v>
      </c>
      <c r="O157" s="43">
        <f t="shared" si="23"/>
        <v>360723410.35000002</v>
      </c>
    </row>
    <row r="158" spans="1:15">
      <c r="A158" s="25">
        <v>2011</v>
      </c>
      <c r="B158" s="28" t="s">
        <v>12</v>
      </c>
      <c r="C158" s="38">
        <v>19549748.09</v>
      </c>
      <c r="D158" s="39">
        <v>22133031.850000001</v>
      </c>
      <c r="E158" s="39">
        <v>12338991.300000001</v>
      </c>
      <c r="F158" s="39">
        <v>92105719.969999999</v>
      </c>
      <c r="G158" s="39">
        <v>86919518.980000004</v>
      </c>
      <c r="H158" s="40">
        <f t="shared" si="27"/>
        <v>233047010.19</v>
      </c>
      <c r="I158" s="41">
        <v>15589543.26</v>
      </c>
      <c r="J158" s="42">
        <v>57154299.280000009</v>
      </c>
      <c r="K158" s="39">
        <v>17083714.670000002</v>
      </c>
      <c r="L158" s="39">
        <v>7634568.4000000004</v>
      </c>
      <c r="M158" s="39">
        <v>118142954.45</v>
      </c>
      <c r="N158" s="39">
        <v>158724758.96000001</v>
      </c>
      <c r="O158" s="43">
        <f t="shared" si="23"/>
        <v>374329839.01999998</v>
      </c>
    </row>
    <row r="159" spans="1:15" ht="15.75" thickBot="1">
      <c r="A159" s="25">
        <v>2011</v>
      </c>
      <c r="B159" s="28" t="s">
        <v>13</v>
      </c>
      <c r="C159" s="38">
        <v>20565966.140000001</v>
      </c>
      <c r="D159" s="39">
        <v>17020414.579999998</v>
      </c>
      <c r="E159" s="39">
        <v>7975481.4800000004</v>
      </c>
      <c r="F159" s="39">
        <v>93855712.75</v>
      </c>
      <c r="G159" s="39">
        <v>83022495.379999995</v>
      </c>
      <c r="H159" s="40">
        <f t="shared" si="27"/>
        <v>222440070.32999998</v>
      </c>
      <c r="I159" s="41">
        <v>15259477.4</v>
      </c>
      <c r="J159" s="42">
        <v>55942825.390000008</v>
      </c>
      <c r="K159" s="39">
        <v>15262415.130000001</v>
      </c>
      <c r="L159" s="39">
        <v>5972123.6900000004</v>
      </c>
      <c r="M159" s="39">
        <v>126293419.79000001</v>
      </c>
      <c r="N159" s="39">
        <v>143062814.91</v>
      </c>
      <c r="O159" s="43">
        <f t="shared" si="23"/>
        <v>361793076.31</v>
      </c>
    </row>
    <row r="160" spans="1:15" s="3" customFormat="1" ht="16.5" thickTop="1" thickBot="1">
      <c r="A160" s="33">
        <v>2011</v>
      </c>
      <c r="B160" s="34" t="s">
        <v>14</v>
      </c>
      <c r="C160" s="45">
        <f t="shared" ref="C160:I160" si="28">SUM(C148:C159)</f>
        <v>255367123.75</v>
      </c>
      <c r="D160" s="46">
        <f t="shared" si="28"/>
        <v>230349706.25999999</v>
      </c>
      <c r="E160" s="46">
        <f t="shared" si="28"/>
        <v>198120990.11000001</v>
      </c>
      <c r="F160" s="46">
        <f t="shared" si="28"/>
        <v>1243866235.8599999</v>
      </c>
      <c r="G160" s="46">
        <f t="shared" si="28"/>
        <v>1200562113.1500001</v>
      </c>
      <c r="H160" s="47">
        <f t="shared" si="28"/>
        <v>3128266169.1299996</v>
      </c>
      <c r="I160" s="48">
        <f t="shared" si="28"/>
        <v>175234336.69999999</v>
      </c>
      <c r="J160" s="49">
        <v>640114535.18000007</v>
      </c>
      <c r="K160" s="46">
        <f>SUM(K148:K159)</f>
        <v>184574934.75999999</v>
      </c>
      <c r="L160" s="46">
        <f>SUM(L148:L159)</f>
        <v>105562977.77000003</v>
      </c>
      <c r="M160" s="46">
        <f>SUM(M148:M159)</f>
        <v>1521879251.5799999</v>
      </c>
      <c r="N160" s="46">
        <f>SUM(N148:N159)</f>
        <v>1629196038.5700002</v>
      </c>
      <c r="O160" s="50">
        <f t="shared" si="23"/>
        <v>4256562074.5599999</v>
      </c>
    </row>
    <row r="161" spans="1:15" ht="15.75" thickTop="1">
      <c r="A161" s="25">
        <v>2012</v>
      </c>
      <c r="B161" s="28" t="s">
        <v>2</v>
      </c>
      <c r="C161" s="38">
        <v>18201657.289999999</v>
      </c>
      <c r="D161" s="39">
        <v>14542662.75</v>
      </c>
      <c r="E161" s="39">
        <v>10632178.619999999</v>
      </c>
      <c r="F161" s="39">
        <v>97881619.859999999</v>
      </c>
      <c r="G161" s="39">
        <v>83529590.849999994</v>
      </c>
      <c r="H161" s="40">
        <f t="shared" ref="H161:H172" si="29">SUM(C161:G161)</f>
        <v>224787709.36999997</v>
      </c>
      <c r="I161" s="41">
        <v>15924328.619999999</v>
      </c>
      <c r="J161" s="42">
        <v>58303462.360000007</v>
      </c>
      <c r="K161" s="39">
        <v>16833820.699999999</v>
      </c>
      <c r="L161" s="39">
        <v>7852948.6900000004</v>
      </c>
      <c r="M161" s="39">
        <v>128423408.91</v>
      </c>
      <c r="N161" s="39">
        <v>133391050.13</v>
      </c>
      <c r="O161" s="43">
        <f t="shared" si="23"/>
        <v>360729019.40999997</v>
      </c>
    </row>
    <row r="162" spans="1:15">
      <c r="A162" s="25">
        <v>2012</v>
      </c>
      <c r="B162" s="28" t="s">
        <v>3</v>
      </c>
      <c r="C162" s="38">
        <v>16284987.26</v>
      </c>
      <c r="D162" s="39">
        <v>13138581.039999999</v>
      </c>
      <c r="E162" s="39">
        <v>10294425.5</v>
      </c>
      <c r="F162" s="39">
        <v>81585825.049999997</v>
      </c>
      <c r="G162" s="39">
        <v>72229297.469999999</v>
      </c>
      <c r="H162" s="40">
        <f t="shared" si="29"/>
        <v>193533116.31999999</v>
      </c>
      <c r="I162" s="41">
        <v>13210160.630000001</v>
      </c>
      <c r="J162" s="42">
        <v>48435248.949999996</v>
      </c>
      <c r="K162" s="39">
        <v>14732563.23</v>
      </c>
      <c r="L162" s="39">
        <v>8470137.5999999996</v>
      </c>
      <c r="M162" s="39">
        <v>125225207.45</v>
      </c>
      <c r="N162" s="39">
        <v>126586956.98</v>
      </c>
      <c r="O162" s="43">
        <f t="shared" si="23"/>
        <v>336660274.84000003</v>
      </c>
    </row>
    <row r="163" spans="1:15">
      <c r="A163" s="25">
        <v>2012</v>
      </c>
      <c r="B163" s="28" t="s">
        <v>4</v>
      </c>
      <c r="C163" s="38">
        <v>15767664.050000001</v>
      </c>
      <c r="D163" s="39">
        <v>14180450.92</v>
      </c>
      <c r="E163" s="39">
        <v>11207946.029999999</v>
      </c>
      <c r="F163" s="39">
        <v>92339958.5</v>
      </c>
      <c r="G163" s="39">
        <v>78444682.439999998</v>
      </c>
      <c r="H163" s="40">
        <f t="shared" si="29"/>
        <v>211940701.94</v>
      </c>
      <c r="I163" s="41">
        <v>13434817.890000001</v>
      </c>
      <c r="J163" s="42">
        <v>49412685.700000003</v>
      </c>
      <c r="K163" s="39">
        <v>14868105.41</v>
      </c>
      <c r="L163" s="39">
        <v>10768544.609999999</v>
      </c>
      <c r="M163" s="39">
        <v>134065502.76000001</v>
      </c>
      <c r="N163" s="39">
        <v>139096858.62</v>
      </c>
      <c r="O163" s="43">
        <f t="shared" si="23"/>
        <v>361646514.99000001</v>
      </c>
    </row>
    <row r="164" spans="1:15">
      <c r="A164" s="25">
        <v>2012</v>
      </c>
      <c r="B164" s="28" t="s">
        <v>5</v>
      </c>
      <c r="C164" s="38">
        <v>14782098.34</v>
      </c>
      <c r="D164" s="39">
        <v>12038398.189999999</v>
      </c>
      <c r="E164" s="39">
        <v>10754583.939999999</v>
      </c>
      <c r="F164" s="39">
        <v>82302901.540000007</v>
      </c>
      <c r="G164" s="39">
        <v>72322437.879999995</v>
      </c>
      <c r="H164" s="40">
        <f t="shared" si="29"/>
        <v>192200419.88999999</v>
      </c>
      <c r="I164" s="41">
        <v>12821653.83</v>
      </c>
      <c r="J164" s="42">
        <v>47150205.240000002</v>
      </c>
      <c r="K164" s="39">
        <v>14209776.310000001</v>
      </c>
      <c r="L164" s="39">
        <v>9165956.0199999996</v>
      </c>
      <c r="M164" s="39">
        <v>119975304.44</v>
      </c>
      <c r="N164" s="39">
        <v>132061804.05</v>
      </c>
      <c r="O164" s="43">
        <f t="shared" si="23"/>
        <v>335384699.88999999</v>
      </c>
    </row>
    <row r="165" spans="1:15">
      <c r="A165" s="25">
        <v>2012</v>
      </c>
      <c r="B165" s="28" t="s">
        <v>6</v>
      </c>
      <c r="C165" s="38">
        <v>15183610.23</v>
      </c>
      <c r="D165" s="39">
        <v>12818915.800000001</v>
      </c>
      <c r="E165" s="39">
        <v>11168339.67</v>
      </c>
      <c r="F165" s="39">
        <v>75983185.180000007</v>
      </c>
      <c r="G165" s="39">
        <v>67381179.349999994</v>
      </c>
      <c r="H165" s="40">
        <f t="shared" si="29"/>
        <v>182535230.23000002</v>
      </c>
      <c r="I165" s="41">
        <v>12480371.91</v>
      </c>
      <c r="J165" s="42">
        <v>45883948.730000004</v>
      </c>
      <c r="K165" s="39">
        <v>14674870.449999999</v>
      </c>
      <c r="L165" s="39">
        <v>9761402.4700000007</v>
      </c>
      <c r="M165" s="39">
        <v>112627578.12</v>
      </c>
      <c r="N165" s="39">
        <v>143276604.24000001</v>
      </c>
      <c r="O165" s="43">
        <f t="shared" ref="O165:O196" si="30">SUM(I165:N165)</f>
        <v>338704775.92000002</v>
      </c>
    </row>
    <row r="166" spans="1:15">
      <c r="A166" s="25">
        <v>2012</v>
      </c>
      <c r="B166" s="28" t="s">
        <v>7</v>
      </c>
      <c r="C166" s="38">
        <v>12893363.970000001</v>
      </c>
      <c r="D166" s="39">
        <v>11235954.91</v>
      </c>
      <c r="E166" s="39">
        <v>11035845.539999999</v>
      </c>
      <c r="F166" s="39">
        <v>76072030.769999996</v>
      </c>
      <c r="G166" s="39">
        <v>72684291.689999998</v>
      </c>
      <c r="H166" s="40">
        <f t="shared" si="29"/>
        <v>183921486.88</v>
      </c>
      <c r="I166" s="41">
        <v>11655310.51</v>
      </c>
      <c r="J166" s="42">
        <v>42603013.420000002</v>
      </c>
      <c r="K166" s="39">
        <v>12317522.720000001</v>
      </c>
      <c r="L166" s="39">
        <v>8278627.7599999998</v>
      </c>
      <c r="M166" s="39">
        <v>97204389.299999997</v>
      </c>
      <c r="N166" s="39">
        <v>146571771.99000001</v>
      </c>
      <c r="O166" s="43">
        <f t="shared" si="30"/>
        <v>318630635.69999999</v>
      </c>
    </row>
    <row r="167" spans="1:15">
      <c r="A167" s="25">
        <v>2012</v>
      </c>
      <c r="B167" s="28" t="s">
        <v>8</v>
      </c>
      <c r="C167" s="38">
        <v>14970349.08</v>
      </c>
      <c r="D167" s="39">
        <v>13632414.039999999</v>
      </c>
      <c r="E167" s="39">
        <v>13475977.27</v>
      </c>
      <c r="F167" s="39">
        <v>73600256.489999995</v>
      </c>
      <c r="G167" s="39">
        <v>78855226.840000004</v>
      </c>
      <c r="H167" s="40">
        <f t="shared" si="29"/>
        <v>194534223.72</v>
      </c>
      <c r="I167" s="41">
        <v>12952649.98</v>
      </c>
      <c r="J167" s="42">
        <v>46998523.700000003</v>
      </c>
      <c r="K167" s="39">
        <v>13248173.300000001</v>
      </c>
      <c r="L167" s="39">
        <v>8777318.1699999999</v>
      </c>
      <c r="M167" s="39">
        <v>88916679.189999998</v>
      </c>
      <c r="N167" s="39">
        <v>149202414.72</v>
      </c>
      <c r="O167" s="43">
        <f t="shared" si="30"/>
        <v>320095759.06</v>
      </c>
    </row>
    <row r="168" spans="1:15">
      <c r="A168" s="25">
        <v>2012</v>
      </c>
      <c r="B168" s="28" t="s">
        <v>9</v>
      </c>
      <c r="C168" s="38">
        <v>16987291.309999999</v>
      </c>
      <c r="D168" s="39">
        <v>16529639.890000001</v>
      </c>
      <c r="E168" s="39">
        <v>15000422.5</v>
      </c>
      <c r="F168" s="39">
        <v>73356758.349999994</v>
      </c>
      <c r="G168" s="39">
        <v>86103865.019999996</v>
      </c>
      <c r="H168" s="40">
        <f t="shared" si="29"/>
        <v>207977977.06999999</v>
      </c>
      <c r="I168" s="41">
        <v>13890767</v>
      </c>
      <c r="J168" s="42">
        <v>50483315.469999999</v>
      </c>
      <c r="K168" s="39">
        <v>11478868.75</v>
      </c>
      <c r="L168" s="39">
        <v>7675557.9299999997</v>
      </c>
      <c r="M168" s="39">
        <v>82209292.870000005</v>
      </c>
      <c r="N168" s="39">
        <v>155369310.41999999</v>
      </c>
      <c r="O168" s="43">
        <f t="shared" si="30"/>
        <v>321107112.44</v>
      </c>
    </row>
    <row r="169" spans="1:15">
      <c r="A169" s="25">
        <v>2012</v>
      </c>
      <c r="B169" s="28" t="s">
        <v>10</v>
      </c>
      <c r="C169" s="38">
        <v>16912585.18</v>
      </c>
      <c r="D169" s="39">
        <v>15763574.470000001</v>
      </c>
      <c r="E169" s="39">
        <v>11123362.09</v>
      </c>
      <c r="F169" s="39">
        <v>84964295.829999998</v>
      </c>
      <c r="G169" s="39">
        <v>89332752.180000007</v>
      </c>
      <c r="H169" s="40">
        <f t="shared" si="29"/>
        <v>218096569.75</v>
      </c>
      <c r="I169" s="41">
        <v>13800433.15</v>
      </c>
      <c r="J169" s="42">
        <v>50551450.940000005</v>
      </c>
      <c r="K169" s="39">
        <v>11233171.539999999</v>
      </c>
      <c r="L169" s="39">
        <v>6459855.5499999998</v>
      </c>
      <c r="M169" s="39">
        <v>92074365.609999999</v>
      </c>
      <c r="N169" s="39">
        <v>153776897.90000001</v>
      </c>
      <c r="O169" s="43">
        <f t="shared" si="30"/>
        <v>327896174.69</v>
      </c>
    </row>
    <row r="170" spans="1:15">
      <c r="A170" s="25">
        <v>2012</v>
      </c>
      <c r="B170" s="28" t="s">
        <v>11</v>
      </c>
      <c r="C170" s="38">
        <v>21378089.140000001</v>
      </c>
      <c r="D170" s="39">
        <v>22641891.120000001</v>
      </c>
      <c r="E170" s="39">
        <v>13686521.91</v>
      </c>
      <c r="F170" s="39">
        <v>89149959.209999993</v>
      </c>
      <c r="G170" s="39">
        <v>96992417.049999997</v>
      </c>
      <c r="H170" s="40">
        <f t="shared" si="29"/>
        <v>243848878.43000001</v>
      </c>
      <c r="I170" s="41">
        <v>15968756.050000001</v>
      </c>
      <c r="J170" s="42">
        <v>58473322.030000001</v>
      </c>
      <c r="K170" s="39">
        <v>14654527.039999999</v>
      </c>
      <c r="L170" s="39">
        <v>8141052.96</v>
      </c>
      <c r="M170" s="39">
        <v>103769041.90000001</v>
      </c>
      <c r="N170" s="39">
        <v>185593873.36000001</v>
      </c>
      <c r="O170" s="43">
        <f t="shared" si="30"/>
        <v>386600573.34000003</v>
      </c>
    </row>
    <row r="171" spans="1:15">
      <c r="A171" s="25">
        <v>2012</v>
      </c>
      <c r="B171" s="28" t="s">
        <v>12</v>
      </c>
      <c r="C171" s="38">
        <v>21875067.030000001</v>
      </c>
      <c r="D171" s="39">
        <v>23805283.66</v>
      </c>
      <c r="E171" s="39">
        <v>11053086.91</v>
      </c>
      <c r="F171" s="39">
        <v>86941687.819999993</v>
      </c>
      <c r="G171" s="39">
        <v>94785734.969999999</v>
      </c>
      <c r="H171" s="40">
        <f t="shared" si="29"/>
        <v>238460860.38999999</v>
      </c>
      <c r="I171" s="41">
        <v>17855507.949999999</v>
      </c>
      <c r="J171" s="42">
        <v>65095735.090000004</v>
      </c>
      <c r="K171" s="39">
        <v>13664934.119999999</v>
      </c>
      <c r="L171" s="39">
        <v>6749841.8899999997</v>
      </c>
      <c r="M171" s="39">
        <v>112187980.12</v>
      </c>
      <c r="N171" s="39">
        <v>175284965.86000001</v>
      </c>
      <c r="O171" s="43">
        <f t="shared" si="30"/>
        <v>390838965.03000003</v>
      </c>
    </row>
    <row r="172" spans="1:15" ht="15.75" thickBot="1">
      <c r="A172" s="26">
        <v>2012</v>
      </c>
      <c r="B172" s="29" t="s">
        <v>13</v>
      </c>
      <c r="C172" s="51">
        <v>21344211.300000001</v>
      </c>
      <c r="D172" s="52">
        <v>16669395.460000001</v>
      </c>
      <c r="E172" s="52">
        <v>8279667.8499999996</v>
      </c>
      <c r="F172" s="52">
        <v>86552010.049999997</v>
      </c>
      <c r="G172" s="52">
        <v>84702372.890000001</v>
      </c>
      <c r="H172" s="53">
        <f t="shared" si="29"/>
        <v>217547657.55000001</v>
      </c>
      <c r="I172" s="54">
        <v>17646897.469999999</v>
      </c>
      <c r="J172" s="55">
        <v>64167292.040000007</v>
      </c>
      <c r="K172" s="52">
        <v>14507223.16</v>
      </c>
      <c r="L172" s="52">
        <v>5286007.03</v>
      </c>
      <c r="M172" s="52">
        <v>132220390.94</v>
      </c>
      <c r="N172" s="52">
        <v>164941480.03999999</v>
      </c>
      <c r="O172" s="56">
        <f t="shared" si="30"/>
        <v>398769290.67999995</v>
      </c>
    </row>
    <row r="173" spans="1:15" s="3" customFormat="1" ht="16.5" thickTop="1" thickBot="1">
      <c r="A173" s="31">
        <v>2012</v>
      </c>
      <c r="B173" s="32" t="s">
        <v>14</v>
      </c>
      <c r="C173" s="57">
        <f t="shared" ref="C173:I173" si="31">SUM(C161:C172)</f>
        <v>206580974.18000004</v>
      </c>
      <c r="D173" s="58">
        <f t="shared" si="31"/>
        <v>186997162.25</v>
      </c>
      <c r="E173" s="58">
        <f t="shared" si="31"/>
        <v>137712357.82999998</v>
      </c>
      <c r="F173" s="58">
        <f t="shared" si="31"/>
        <v>1000730488.6500001</v>
      </c>
      <c r="G173" s="58">
        <f t="shared" si="31"/>
        <v>977363848.63</v>
      </c>
      <c r="H173" s="59">
        <f t="shared" si="31"/>
        <v>2509384831.54</v>
      </c>
      <c r="I173" s="60">
        <f t="shared" si="31"/>
        <v>171641654.99000001</v>
      </c>
      <c r="J173" s="61">
        <v>627558203.67000008</v>
      </c>
      <c r="K173" s="58">
        <f>SUM(K161:K172)</f>
        <v>166423556.72999999</v>
      </c>
      <c r="L173" s="58">
        <f>SUM(L161:L172)</f>
        <v>97387250.679999992</v>
      </c>
      <c r="M173" s="58">
        <f>SUM(M161:M172)</f>
        <v>1328899141.6100001</v>
      </c>
      <c r="N173" s="58">
        <f>SUM(N161:N172)</f>
        <v>1805153988.3100004</v>
      </c>
      <c r="O173" s="62">
        <f t="shared" si="30"/>
        <v>4197063795.9900007</v>
      </c>
    </row>
    <row r="174" spans="1:15" ht="15.75" thickTop="1">
      <c r="A174" s="25">
        <v>2013</v>
      </c>
      <c r="B174" s="28" t="s">
        <v>2</v>
      </c>
      <c r="C174" s="38">
        <v>17928379.670000002</v>
      </c>
      <c r="D174" s="39">
        <v>16804229.690000001</v>
      </c>
      <c r="E174" s="39">
        <v>7431443.3700000001</v>
      </c>
      <c r="F174" s="39">
        <v>85281280.969999984</v>
      </c>
      <c r="G174" s="39">
        <v>76801104.939999998</v>
      </c>
      <c r="H174" s="40">
        <f t="shared" ref="H174:H185" si="32">SUM(C174:G174)</f>
        <v>204246438.63999999</v>
      </c>
      <c r="I174" s="41">
        <v>16349977.210000001</v>
      </c>
      <c r="J174" s="42">
        <v>59689416.149999999</v>
      </c>
      <c r="K174" s="39">
        <v>15408805.34</v>
      </c>
      <c r="L174" s="39">
        <v>6252483.5700000003</v>
      </c>
      <c r="M174" s="39">
        <v>131299906.56999999</v>
      </c>
      <c r="N174" s="39">
        <v>163006378.5</v>
      </c>
      <c r="O174" s="43">
        <f t="shared" si="30"/>
        <v>392006967.34000003</v>
      </c>
    </row>
    <row r="175" spans="1:15">
      <c r="A175" s="25">
        <v>2013</v>
      </c>
      <c r="B175" s="28" t="s">
        <v>3</v>
      </c>
      <c r="C175" s="38">
        <v>14061379.74</v>
      </c>
      <c r="D175" s="39">
        <v>13909321.189999999</v>
      </c>
      <c r="E175" s="39">
        <v>8205245.21</v>
      </c>
      <c r="F175" s="39">
        <v>82316380.409999996</v>
      </c>
      <c r="G175" s="39">
        <v>74919361.5</v>
      </c>
      <c r="H175" s="40">
        <f t="shared" si="32"/>
        <v>193411688.05000001</v>
      </c>
      <c r="I175" s="41">
        <v>14335772.449999999</v>
      </c>
      <c r="J175" s="42">
        <v>52357531.579999998</v>
      </c>
      <c r="K175" s="39">
        <v>15110207.57</v>
      </c>
      <c r="L175" s="39">
        <v>8482968.4100000001</v>
      </c>
      <c r="M175" s="39">
        <v>131064122.91</v>
      </c>
      <c r="N175" s="39">
        <v>137158246.47999999</v>
      </c>
      <c r="O175" s="43">
        <f t="shared" si="30"/>
        <v>358508849.39999998</v>
      </c>
    </row>
    <row r="176" spans="1:15">
      <c r="A176" s="25">
        <v>2013</v>
      </c>
      <c r="B176" s="28" t="s">
        <v>4</v>
      </c>
      <c r="C176" s="38">
        <v>15754840.550000001</v>
      </c>
      <c r="D176" s="39">
        <v>15637224.25</v>
      </c>
      <c r="E176" s="39">
        <v>11523047.050000001</v>
      </c>
      <c r="F176" s="39">
        <v>95137582.709999993</v>
      </c>
      <c r="G176" s="39">
        <v>86082079.359999999</v>
      </c>
      <c r="H176" s="40">
        <f t="shared" si="32"/>
        <v>224134773.92000002</v>
      </c>
      <c r="I176" s="41">
        <v>14464632.23</v>
      </c>
      <c r="J176" s="42">
        <v>52948467.25</v>
      </c>
      <c r="K176" s="39">
        <v>16570329.9</v>
      </c>
      <c r="L176" s="39">
        <v>9853858.3200000003</v>
      </c>
      <c r="M176" s="39">
        <v>149491145.87</v>
      </c>
      <c r="N176" s="39">
        <v>143916447.34999999</v>
      </c>
      <c r="O176" s="43">
        <f t="shared" si="30"/>
        <v>387244880.92000002</v>
      </c>
    </row>
    <row r="177" spans="1:15">
      <c r="A177" s="25">
        <v>2013</v>
      </c>
      <c r="B177" s="28" t="s">
        <v>5</v>
      </c>
      <c r="C177" s="38">
        <v>16285153.24</v>
      </c>
      <c r="D177" s="39">
        <v>16847948.07</v>
      </c>
      <c r="E177" s="39">
        <v>13524804.060000001</v>
      </c>
      <c r="F177" s="39">
        <v>94118610.150000006</v>
      </c>
      <c r="G177" s="39">
        <v>89314155.129999995</v>
      </c>
      <c r="H177" s="40">
        <f t="shared" si="32"/>
        <v>230090670.65000001</v>
      </c>
      <c r="I177" s="41">
        <v>14613928.59</v>
      </c>
      <c r="J177" s="42">
        <v>53429146.209999993</v>
      </c>
      <c r="K177" s="39">
        <v>15964621.92</v>
      </c>
      <c r="L177" s="39">
        <v>11083328.199999999</v>
      </c>
      <c r="M177" s="39">
        <v>141090224.97</v>
      </c>
      <c r="N177" s="39">
        <v>167474760.40000001</v>
      </c>
      <c r="O177" s="43">
        <f t="shared" si="30"/>
        <v>403656010.28999996</v>
      </c>
    </row>
    <row r="178" spans="1:15">
      <c r="A178" s="25">
        <v>2013</v>
      </c>
      <c r="B178" s="28" t="s">
        <v>6</v>
      </c>
      <c r="C178" s="38">
        <v>17655789.940000001</v>
      </c>
      <c r="D178" s="39">
        <v>18113485.41</v>
      </c>
      <c r="E178" s="39">
        <v>13525640.939999999</v>
      </c>
      <c r="F178" s="39">
        <v>86833054.5</v>
      </c>
      <c r="G178" s="39">
        <v>86111228.150000006</v>
      </c>
      <c r="H178" s="40">
        <f t="shared" si="32"/>
        <v>222239198.94</v>
      </c>
      <c r="I178" s="41">
        <v>14326637.189999999</v>
      </c>
      <c r="J178" s="42">
        <v>52393428.43</v>
      </c>
      <c r="K178" s="39">
        <v>16981082.57</v>
      </c>
      <c r="L178" s="39">
        <v>11952970.5</v>
      </c>
      <c r="M178" s="39">
        <v>150361411.44</v>
      </c>
      <c r="N178" s="39">
        <v>183746783.63</v>
      </c>
      <c r="O178" s="43">
        <f t="shared" si="30"/>
        <v>429762313.75999999</v>
      </c>
    </row>
    <row r="179" spans="1:15">
      <c r="A179" s="25">
        <v>2013</v>
      </c>
      <c r="B179" s="28" t="s">
        <v>7</v>
      </c>
      <c r="C179" s="38">
        <v>16092618.039999999</v>
      </c>
      <c r="D179" s="39">
        <v>13506566.710000001</v>
      </c>
      <c r="E179" s="39">
        <v>13565572.48</v>
      </c>
      <c r="F179" s="39">
        <v>75735939.909999996</v>
      </c>
      <c r="G179" s="39">
        <v>76485125.200000003</v>
      </c>
      <c r="H179" s="40">
        <f t="shared" si="32"/>
        <v>195385822.34</v>
      </c>
      <c r="I179" s="41">
        <v>13840121.689999999</v>
      </c>
      <c r="J179" s="42">
        <v>50367479.390000001</v>
      </c>
      <c r="K179" s="39">
        <v>16057418.779999999</v>
      </c>
      <c r="L179" s="39">
        <v>10898702.23</v>
      </c>
      <c r="M179" s="39">
        <v>148942405.13999999</v>
      </c>
      <c r="N179" s="39">
        <v>162274312.43000001</v>
      </c>
      <c r="O179" s="43">
        <f t="shared" si="30"/>
        <v>402380439.65999997</v>
      </c>
    </row>
    <row r="180" spans="1:15">
      <c r="A180" s="25">
        <v>2013</v>
      </c>
      <c r="B180" s="28" t="s">
        <v>8</v>
      </c>
      <c r="C180" s="38">
        <v>16581808.640000001</v>
      </c>
      <c r="D180" s="39">
        <v>13918940.050000001</v>
      </c>
      <c r="E180" s="39">
        <v>13724428.439999999</v>
      </c>
      <c r="F180" s="39">
        <v>66213249.609999999</v>
      </c>
      <c r="G180" s="39">
        <v>72818266.859999999</v>
      </c>
      <c r="H180" s="40">
        <f t="shared" si="32"/>
        <v>183256693.60000002</v>
      </c>
      <c r="I180" s="41">
        <v>14309517.43</v>
      </c>
      <c r="J180" s="42">
        <v>51984049.060000002</v>
      </c>
      <c r="K180" s="39">
        <v>16090119.630000001</v>
      </c>
      <c r="L180" s="39">
        <v>11110193.09</v>
      </c>
      <c r="M180" s="39">
        <v>133229151.95999999</v>
      </c>
      <c r="N180" s="39">
        <v>158640653.63</v>
      </c>
      <c r="O180" s="43">
        <f t="shared" si="30"/>
        <v>385363684.80000001</v>
      </c>
    </row>
    <row r="181" spans="1:15">
      <c r="A181" s="25">
        <v>2013</v>
      </c>
      <c r="B181" s="28" t="s">
        <v>9</v>
      </c>
      <c r="C181" s="38">
        <v>15886639.939999999</v>
      </c>
      <c r="D181" s="39">
        <v>13086635.43</v>
      </c>
      <c r="E181" s="39">
        <v>11243436.08</v>
      </c>
      <c r="F181" s="39">
        <v>65037567.25</v>
      </c>
      <c r="G181" s="39">
        <v>69230626.420000002</v>
      </c>
      <c r="H181" s="40">
        <f t="shared" si="32"/>
        <v>174484905.12</v>
      </c>
      <c r="I181" s="41">
        <v>15970119.43</v>
      </c>
      <c r="J181" s="42">
        <v>58018242.139999993</v>
      </c>
      <c r="K181" s="39">
        <v>21436187.760000002</v>
      </c>
      <c r="L181" s="39">
        <v>11241898.640000001</v>
      </c>
      <c r="M181" s="39">
        <v>139569433.19999999</v>
      </c>
      <c r="N181" s="39">
        <v>174354146.65000001</v>
      </c>
      <c r="O181" s="43">
        <f t="shared" si="30"/>
        <v>420590027.81999999</v>
      </c>
    </row>
    <row r="182" spans="1:15">
      <c r="A182" s="25">
        <v>2013</v>
      </c>
      <c r="B182" s="28" t="s">
        <v>10</v>
      </c>
      <c r="C182" s="38">
        <v>14793952.26</v>
      </c>
      <c r="D182" s="39">
        <v>12677497.369999999</v>
      </c>
      <c r="E182" s="39">
        <v>10084944.91</v>
      </c>
      <c r="F182" s="39">
        <v>66222740.710000001</v>
      </c>
      <c r="G182" s="39">
        <v>72513944.609999999</v>
      </c>
      <c r="H182" s="40">
        <f t="shared" si="32"/>
        <v>176293079.86000001</v>
      </c>
      <c r="I182" s="41">
        <v>16411740.689999999</v>
      </c>
      <c r="J182" s="42">
        <v>59832601.790000007</v>
      </c>
      <c r="K182" s="39">
        <v>18116010.719999999</v>
      </c>
      <c r="L182" s="39">
        <v>10251634.890000001</v>
      </c>
      <c r="M182" s="39">
        <v>129453369.45999999</v>
      </c>
      <c r="N182" s="39">
        <v>167504109.83000001</v>
      </c>
      <c r="O182" s="43">
        <f t="shared" si="30"/>
        <v>401569467.38</v>
      </c>
    </row>
    <row r="183" spans="1:15">
      <c r="A183" s="25">
        <v>2013</v>
      </c>
      <c r="B183" s="28" t="s">
        <v>11</v>
      </c>
      <c r="C183" s="38">
        <v>15909771.970000001</v>
      </c>
      <c r="D183" s="39">
        <v>16948567.109999999</v>
      </c>
      <c r="E183" s="39">
        <v>9520746.9800000004</v>
      </c>
      <c r="F183" s="39">
        <v>72029553.370000005</v>
      </c>
      <c r="G183" s="39">
        <v>80237220.299999997</v>
      </c>
      <c r="H183" s="40">
        <f t="shared" si="32"/>
        <v>194645859.73000002</v>
      </c>
      <c r="I183" s="41">
        <v>18097194.170000002</v>
      </c>
      <c r="J183" s="42">
        <v>66306789.649999991</v>
      </c>
      <c r="K183" s="39">
        <v>19689596.82</v>
      </c>
      <c r="L183" s="39">
        <v>10826752.050000001</v>
      </c>
      <c r="M183" s="39">
        <v>142690259.52000001</v>
      </c>
      <c r="N183" s="39">
        <v>173267969.13</v>
      </c>
      <c r="O183" s="43">
        <f t="shared" si="30"/>
        <v>430878561.33999997</v>
      </c>
    </row>
    <row r="184" spans="1:15">
      <c r="A184" s="25">
        <v>2013</v>
      </c>
      <c r="B184" s="28" t="s">
        <v>12</v>
      </c>
      <c r="C184" s="38">
        <v>16930552.989999998</v>
      </c>
      <c r="D184" s="39">
        <v>17562971.469999999</v>
      </c>
      <c r="E184" s="39">
        <v>7447505.5999999996</v>
      </c>
      <c r="F184" s="39">
        <v>74560488.780000001</v>
      </c>
      <c r="G184" s="39">
        <v>81974713.189999998</v>
      </c>
      <c r="H184" s="40">
        <f t="shared" si="32"/>
        <v>198476232.03</v>
      </c>
      <c r="I184" s="41">
        <v>16866008.460000001</v>
      </c>
      <c r="J184" s="42">
        <v>61995856.759999998</v>
      </c>
      <c r="K184" s="39">
        <v>18742071.870000001</v>
      </c>
      <c r="L184" s="39">
        <v>14187630.33</v>
      </c>
      <c r="M184" s="39">
        <v>149096696.78</v>
      </c>
      <c r="N184" s="39">
        <v>175339201.06999999</v>
      </c>
      <c r="O184" s="43">
        <f t="shared" si="30"/>
        <v>436227465.26999998</v>
      </c>
    </row>
    <row r="185" spans="1:15" ht="15.75" thickBot="1">
      <c r="A185" s="25">
        <v>2013</v>
      </c>
      <c r="B185" s="28" t="s">
        <v>13</v>
      </c>
      <c r="C185" s="38">
        <v>17278683.789999999</v>
      </c>
      <c r="D185" s="39">
        <v>18562998.18</v>
      </c>
      <c r="E185" s="39">
        <v>6265023.7800000003</v>
      </c>
      <c r="F185" s="39">
        <v>85002667.480000004</v>
      </c>
      <c r="G185" s="39">
        <v>90190453.450000003</v>
      </c>
      <c r="H185" s="40">
        <f t="shared" si="32"/>
        <v>217299826.68000001</v>
      </c>
      <c r="I185" s="41">
        <v>17968638.210000001</v>
      </c>
      <c r="J185" s="42">
        <v>65844411.350000001</v>
      </c>
      <c r="K185" s="39">
        <v>19714228.289999999</v>
      </c>
      <c r="L185" s="39">
        <v>6570828.2699999996</v>
      </c>
      <c r="M185" s="39">
        <v>172700198.30000001</v>
      </c>
      <c r="N185" s="39">
        <v>196706299.15000001</v>
      </c>
      <c r="O185" s="43">
        <f t="shared" si="30"/>
        <v>479504603.57000005</v>
      </c>
    </row>
    <row r="186" spans="1:15" s="3" customFormat="1" ht="16.5" thickTop="1" thickBot="1">
      <c r="A186" s="33">
        <v>2013</v>
      </c>
      <c r="B186" s="34" t="s">
        <v>14</v>
      </c>
      <c r="C186" s="45">
        <f t="shared" ref="C186:I186" si="33">SUM(C174:C185)</f>
        <v>195159570.77000001</v>
      </c>
      <c r="D186" s="46">
        <f t="shared" si="33"/>
        <v>187576384.92999998</v>
      </c>
      <c r="E186" s="46">
        <f t="shared" si="33"/>
        <v>126061838.89999999</v>
      </c>
      <c r="F186" s="46">
        <f t="shared" si="33"/>
        <v>948489115.85000002</v>
      </c>
      <c r="G186" s="46">
        <f t="shared" si="33"/>
        <v>956678279.1099999</v>
      </c>
      <c r="H186" s="47">
        <f t="shared" si="33"/>
        <v>2413965189.5599999</v>
      </c>
      <c r="I186" s="48">
        <f t="shared" si="33"/>
        <v>187554287.75</v>
      </c>
      <c r="J186" s="49">
        <v>685167419.75999999</v>
      </c>
      <c r="K186" s="46">
        <f>SUM(K174:K185)</f>
        <v>209880681.16999999</v>
      </c>
      <c r="L186" s="46">
        <f>SUM(L174:L185)</f>
        <v>122713248.5</v>
      </c>
      <c r="M186" s="46">
        <f>SUM(M174:M185)</f>
        <v>1718988326.1199999</v>
      </c>
      <c r="N186" s="46">
        <f>SUM(N174:N185)</f>
        <v>2003389308.2500002</v>
      </c>
      <c r="O186" s="50">
        <f t="shared" si="30"/>
        <v>4927693271.5500002</v>
      </c>
    </row>
    <row r="187" spans="1:15" ht="15.75" thickTop="1">
      <c r="A187" s="25">
        <v>2014</v>
      </c>
      <c r="B187" s="28" t="s">
        <v>2</v>
      </c>
      <c r="C187" s="38">
        <v>18034830.039999999</v>
      </c>
      <c r="D187" s="39">
        <v>15275506.710000001</v>
      </c>
      <c r="E187" s="39">
        <v>10945985.59</v>
      </c>
      <c r="F187" s="39">
        <v>94977126.069999993</v>
      </c>
      <c r="G187" s="39">
        <v>100460357.68000001</v>
      </c>
      <c r="H187" s="40">
        <f t="shared" ref="H187:H198" si="34">SUM(C187:G187)</f>
        <v>239693806.09</v>
      </c>
      <c r="I187" s="41">
        <v>18466842.109999999</v>
      </c>
      <c r="J187" s="42">
        <v>67252269.040000007</v>
      </c>
      <c r="K187" s="39">
        <v>19681838.489999998</v>
      </c>
      <c r="L187" s="39">
        <v>11839908.189999999</v>
      </c>
      <c r="M187" s="39">
        <v>191402994.25999999</v>
      </c>
      <c r="N187" s="39">
        <v>237948441.28</v>
      </c>
      <c r="O187" s="43">
        <f t="shared" si="30"/>
        <v>546592293.37</v>
      </c>
    </row>
    <row r="188" spans="1:15">
      <c r="A188" s="25">
        <v>2014</v>
      </c>
      <c r="B188" s="28" t="s">
        <v>3</v>
      </c>
      <c r="C188" s="38">
        <v>15778610.439999999</v>
      </c>
      <c r="D188" s="39">
        <v>15714245.93</v>
      </c>
      <c r="E188" s="39">
        <v>11343256.609999999</v>
      </c>
      <c r="F188" s="39">
        <v>99317419.890000001</v>
      </c>
      <c r="G188" s="39">
        <v>93903322.290000007</v>
      </c>
      <c r="H188" s="40">
        <f t="shared" si="34"/>
        <v>236056855.16000003</v>
      </c>
      <c r="I188" s="41">
        <v>17306074.140000001</v>
      </c>
      <c r="J188" s="42">
        <v>63201909.230000004</v>
      </c>
      <c r="K188" s="39">
        <v>20552697.420000002</v>
      </c>
      <c r="L188" s="39">
        <v>12773169.57</v>
      </c>
      <c r="M188" s="39">
        <v>184513540.75</v>
      </c>
      <c r="N188" s="39">
        <v>224505960.27000001</v>
      </c>
      <c r="O188" s="43">
        <f t="shared" si="30"/>
        <v>522853351.38</v>
      </c>
    </row>
    <row r="189" spans="1:15">
      <c r="A189" s="25">
        <v>2014</v>
      </c>
      <c r="B189" s="28" t="s">
        <v>4</v>
      </c>
      <c r="C189" s="38">
        <v>20565888.489999998</v>
      </c>
      <c r="D189" s="39">
        <v>18737195.949999999</v>
      </c>
      <c r="E189" s="39">
        <v>14664522.609999999</v>
      </c>
      <c r="F189" s="39">
        <v>106714528.98</v>
      </c>
      <c r="G189" s="39">
        <v>111719535.38</v>
      </c>
      <c r="H189" s="40">
        <f t="shared" si="34"/>
        <v>272401671.40999997</v>
      </c>
      <c r="I189" s="41">
        <v>19846134.629999999</v>
      </c>
      <c r="J189" s="42">
        <v>72056855.550000012</v>
      </c>
      <c r="K189" s="39">
        <v>24251088.34</v>
      </c>
      <c r="L189" s="39">
        <v>14402491.15</v>
      </c>
      <c r="M189" s="39">
        <v>210971559.90000001</v>
      </c>
      <c r="N189" s="39">
        <v>263418871.41999999</v>
      </c>
      <c r="O189" s="43">
        <f t="shared" si="30"/>
        <v>604947000.99000001</v>
      </c>
    </row>
    <row r="190" spans="1:15">
      <c r="A190" s="25">
        <v>2014</v>
      </c>
      <c r="B190" s="28" t="s">
        <v>5</v>
      </c>
      <c r="C190" s="38">
        <v>20522350.949999999</v>
      </c>
      <c r="D190" s="39">
        <v>19996691.73</v>
      </c>
      <c r="E190" s="39">
        <v>15504067.710000001</v>
      </c>
      <c r="F190" s="39">
        <v>104304397.45</v>
      </c>
      <c r="G190" s="39">
        <v>111793111.92</v>
      </c>
      <c r="H190" s="40">
        <f t="shared" si="34"/>
        <v>272120619.75999999</v>
      </c>
      <c r="I190" s="41">
        <v>19081422.07</v>
      </c>
      <c r="J190" s="42">
        <v>69289843.180000007</v>
      </c>
      <c r="K190" s="39">
        <v>22672477.559999999</v>
      </c>
      <c r="L190" s="39">
        <v>14937072.75</v>
      </c>
      <c r="M190" s="39">
        <v>198076606.28</v>
      </c>
      <c r="N190" s="39">
        <v>242492424.44</v>
      </c>
      <c r="O190" s="43">
        <f t="shared" si="30"/>
        <v>566549846.27999997</v>
      </c>
    </row>
    <row r="191" spans="1:15">
      <c r="A191" s="25">
        <v>2014</v>
      </c>
      <c r="B191" s="28" t="s">
        <v>6</v>
      </c>
      <c r="C191" s="38">
        <v>22124692.870000001</v>
      </c>
      <c r="D191" s="39">
        <v>20113698.59</v>
      </c>
      <c r="E191" s="39">
        <v>16780392.649999999</v>
      </c>
      <c r="F191" s="39">
        <v>112576876.62</v>
      </c>
      <c r="G191" s="39">
        <v>124463964.13</v>
      </c>
      <c r="H191" s="40">
        <f t="shared" si="34"/>
        <v>296059624.86000001</v>
      </c>
      <c r="I191" s="41">
        <v>19769003.41</v>
      </c>
      <c r="J191" s="42">
        <v>71697081.840000004</v>
      </c>
      <c r="K191" s="39">
        <v>21615873.850000001</v>
      </c>
      <c r="L191" s="39">
        <v>14288847.59</v>
      </c>
      <c r="M191" s="39">
        <v>185300444.03999999</v>
      </c>
      <c r="N191" s="39">
        <v>192525027.56999999</v>
      </c>
      <c r="O191" s="43">
        <f t="shared" si="30"/>
        <v>505196278.30000001</v>
      </c>
    </row>
    <row r="192" spans="1:15">
      <c r="A192" s="25">
        <v>2014</v>
      </c>
      <c r="B192" s="28" t="s">
        <v>7</v>
      </c>
      <c r="C192" s="38">
        <v>22783130.77</v>
      </c>
      <c r="D192" s="39">
        <v>22886227.859999999</v>
      </c>
      <c r="E192" s="39">
        <v>20232932.5</v>
      </c>
      <c r="F192" s="39">
        <v>103903719.62</v>
      </c>
      <c r="G192" s="39">
        <v>126665018.28</v>
      </c>
      <c r="H192" s="40">
        <f t="shared" si="34"/>
        <v>296471029.02999997</v>
      </c>
      <c r="I192" s="41">
        <v>17617028.289999999</v>
      </c>
      <c r="J192" s="42">
        <v>63635935.449999996</v>
      </c>
      <c r="K192" s="39">
        <v>22177166.329999998</v>
      </c>
      <c r="L192" s="39">
        <v>15144352.4</v>
      </c>
      <c r="M192" s="39">
        <v>168353909.13999999</v>
      </c>
      <c r="N192" s="39">
        <v>170605488.46000001</v>
      </c>
      <c r="O192" s="43">
        <f t="shared" si="30"/>
        <v>457533880.07000005</v>
      </c>
    </row>
    <row r="193" spans="1:115">
      <c r="A193" s="25">
        <v>2014</v>
      </c>
      <c r="B193" s="28" t="s">
        <v>8</v>
      </c>
      <c r="C193" s="38">
        <v>26774043.100000001</v>
      </c>
      <c r="D193" s="39">
        <v>23510623.890000001</v>
      </c>
      <c r="E193" s="39">
        <v>24229445.829999998</v>
      </c>
      <c r="F193" s="39">
        <v>102893407.48</v>
      </c>
      <c r="G193" s="39">
        <v>140972806.13</v>
      </c>
      <c r="H193" s="40">
        <f t="shared" si="34"/>
        <v>318380326.43000001</v>
      </c>
      <c r="I193" s="41">
        <v>17284089.73</v>
      </c>
      <c r="J193" s="42">
        <v>62643477.379999995</v>
      </c>
      <c r="K193" s="39">
        <v>19919327.82</v>
      </c>
      <c r="L193" s="39">
        <v>14774242.09</v>
      </c>
      <c r="M193" s="39">
        <v>154732952.25</v>
      </c>
      <c r="N193" s="39">
        <v>154334658.72999999</v>
      </c>
      <c r="O193" s="43">
        <f t="shared" si="30"/>
        <v>423688748</v>
      </c>
    </row>
    <row r="194" spans="1:115">
      <c r="A194" s="25">
        <v>2014</v>
      </c>
      <c r="B194" s="28" t="s">
        <v>9</v>
      </c>
      <c r="C194" s="38">
        <v>27981968.969999999</v>
      </c>
      <c r="D194" s="39">
        <v>26636571.530000001</v>
      </c>
      <c r="E194" s="39">
        <v>21424778.989999998</v>
      </c>
      <c r="F194" s="39">
        <v>112784683.23</v>
      </c>
      <c r="G194" s="39">
        <v>143613860.09</v>
      </c>
      <c r="H194" s="40">
        <f t="shared" si="34"/>
        <v>332441862.81</v>
      </c>
      <c r="I194" s="41">
        <v>17348044.719999999</v>
      </c>
      <c r="J194" s="42">
        <v>62400138.719999999</v>
      </c>
      <c r="K194" s="39">
        <v>19800986.079999998</v>
      </c>
      <c r="L194" s="39">
        <v>11951935.859999999</v>
      </c>
      <c r="M194" s="39">
        <v>144758575.12</v>
      </c>
      <c r="N194" s="39">
        <v>166538573.33000001</v>
      </c>
      <c r="O194" s="43">
        <f t="shared" si="30"/>
        <v>422798253.83000004</v>
      </c>
    </row>
    <row r="195" spans="1:115">
      <c r="A195" s="25">
        <v>2014</v>
      </c>
      <c r="B195" s="28" t="s">
        <v>10</v>
      </c>
      <c r="C195" s="38">
        <v>27647322.280000001</v>
      </c>
      <c r="D195" s="39">
        <v>27155837.050000001</v>
      </c>
      <c r="E195" s="39">
        <v>21489930.670000002</v>
      </c>
      <c r="F195" s="39">
        <v>119412560.62</v>
      </c>
      <c r="G195" s="39">
        <v>168817293.13</v>
      </c>
      <c r="H195" s="40">
        <f t="shared" si="34"/>
        <v>364522943.75</v>
      </c>
      <c r="I195" s="41">
        <v>17210545.129999999</v>
      </c>
      <c r="J195" s="42">
        <v>62562414.49000001</v>
      </c>
      <c r="K195" s="39">
        <v>20418220.100000001</v>
      </c>
      <c r="L195" s="39">
        <v>11299127.32</v>
      </c>
      <c r="M195" s="39">
        <v>100132160.03</v>
      </c>
      <c r="N195" s="39">
        <v>175715301</v>
      </c>
      <c r="O195" s="43">
        <f t="shared" si="30"/>
        <v>387337768.06999999</v>
      </c>
    </row>
    <row r="196" spans="1:115">
      <c r="A196" s="25">
        <v>2014</v>
      </c>
      <c r="B196" s="28" t="s">
        <v>11</v>
      </c>
      <c r="C196" s="38">
        <v>34238303.259999998</v>
      </c>
      <c r="D196" s="39">
        <v>27915188.829999998</v>
      </c>
      <c r="E196" s="39">
        <v>20389951.550000001</v>
      </c>
      <c r="F196" s="39">
        <v>119138239.62</v>
      </c>
      <c r="G196" s="39">
        <v>149375910.97</v>
      </c>
      <c r="H196" s="40">
        <f t="shared" si="34"/>
        <v>351057594.23000002</v>
      </c>
      <c r="I196" s="41">
        <v>17227212.210000001</v>
      </c>
      <c r="J196" s="42">
        <v>63148063.729999997</v>
      </c>
      <c r="K196" s="39">
        <v>17975768.789999999</v>
      </c>
      <c r="L196" s="39">
        <v>9840879.2100000009</v>
      </c>
      <c r="M196" s="39">
        <v>114772392.09</v>
      </c>
      <c r="N196" s="39">
        <v>188709847.34999999</v>
      </c>
      <c r="O196" s="43">
        <f t="shared" si="30"/>
        <v>411674163.38</v>
      </c>
    </row>
    <row r="197" spans="1:115">
      <c r="A197" s="25">
        <v>2014</v>
      </c>
      <c r="B197" s="28" t="s">
        <v>12</v>
      </c>
      <c r="C197" s="38">
        <v>32577534.629999999</v>
      </c>
      <c r="D197" s="39">
        <v>30918802.260000002</v>
      </c>
      <c r="E197" s="39">
        <v>15838955.99</v>
      </c>
      <c r="F197" s="39">
        <v>88690337.590000004</v>
      </c>
      <c r="G197" s="39">
        <v>113394973.65000001</v>
      </c>
      <c r="H197" s="40">
        <f t="shared" si="34"/>
        <v>281420604.12</v>
      </c>
      <c r="I197" s="41">
        <v>13692263.539999999</v>
      </c>
      <c r="J197" s="42">
        <v>50675684.259999998</v>
      </c>
      <c r="K197" s="39">
        <v>16901897.579999998</v>
      </c>
      <c r="L197" s="39">
        <v>8573538.0299999993</v>
      </c>
      <c r="M197" s="39">
        <v>109761758.81999999</v>
      </c>
      <c r="N197" s="39">
        <v>184866340.44999999</v>
      </c>
      <c r="O197" s="43">
        <f t="shared" ref="O197:O199" si="35">SUM(I197:N197)</f>
        <v>384471482.67999995</v>
      </c>
    </row>
    <row r="198" spans="1:115" ht="15.75" thickBot="1">
      <c r="A198" s="26">
        <v>2014</v>
      </c>
      <c r="B198" s="29" t="s">
        <v>13</v>
      </c>
      <c r="C198" s="51">
        <v>23008289.100000001</v>
      </c>
      <c r="D198" s="52">
        <v>23917514.719999999</v>
      </c>
      <c r="E198" s="52">
        <v>11596205.800000001</v>
      </c>
      <c r="F198" s="52">
        <v>90508327.359999999</v>
      </c>
      <c r="G198" s="52">
        <v>106859915.65000001</v>
      </c>
      <c r="H198" s="53">
        <f t="shared" si="34"/>
        <v>255890252.63000003</v>
      </c>
      <c r="I198" s="54">
        <v>18318042.039999999</v>
      </c>
      <c r="J198" s="55">
        <v>67035679.43</v>
      </c>
      <c r="K198" s="52">
        <v>16025434.58</v>
      </c>
      <c r="L198" s="52">
        <v>5769582.1799999997</v>
      </c>
      <c r="M198" s="52">
        <v>103121084</v>
      </c>
      <c r="N198" s="52">
        <v>136019113.80000001</v>
      </c>
      <c r="O198" s="56">
        <f t="shared" si="35"/>
        <v>346288936.02999997</v>
      </c>
    </row>
    <row r="199" spans="1:115" s="3" customFormat="1" ht="16.5" thickTop="1" thickBot="1">
      <c r="A199" s="31">
        <v>2014</v>
      </c>
      <c r="B199" s="32" t="s">
        <v>14</v>
      </c>
      <c r="C199" s="57">
        <f t="shared" ref="C199:I199" si="36">SUM(C187:C198)</f>
        <v>292036964.90000004</v>
      </c>
      <c r="D199" s="58">
        <f t="shared" si="36"/>
        <v>272778105.05000007</v>
      </c>
      <c r="E199" s="58">
        <f t="shared" si="36"/>
        <v>204440426.50000006</v>
      </c>
      <c r="F199" s="58">
        <f t="shared" si="36"/>
        <v>1255221624.5299997</v>
      </c>
      <c r="G199" s="58">
        <f t="shared" si="36"/>
        <v>1492040069.3000004</v>
      </c>
      <c r="H199" s="59">
        <f t="shared" si="36"/>
        <v>3516517190.2800002</v>
      </c>
      <c r="I199" s="60">
        <f t="shared" si="36"/>
        <v>213166702.01999995</v>
      </c>
      <c r="J199" s="61">
        <v>775599352.29999995</v>
      </c>
      <c r="K199" s="58">
        <f>SUM(K187:K198)</f>
        <v>241992776.93999997</v>
      </c>
      <c r="L199" s="58">
        <f>SUM(L187:L198)</f>
        <v>145595146.34000003</v>
      </c>
      <c r="M199" s="58">
        <f>SUM(M187:M198)</f>
        <v>1865897976.6799996</v>
      </c>
      <c r="N199" s="58">
        <f>SUM(N187:N198)</f>
        <v>2337680048.0999999</v>
      </c>
      <c r="O199" s="62">
        <f t="shared" si="35"/>
        <v>5579932002.3799992</v>
      </c>
    </row>
    <row r="200" spans="1:115" ht="20.25" customHeight="1" thickTop="1">
      <c r="A200" s="239" t="s">
        <v>45</v>
      </c>
      <c r="B200" s="239"/>
      <c r="C200" s="239"/>
      <c r="D200" s="239"/>
      <c r="E200" s="239"/>
      <c r="F200" s="9"/>
      <c r="G200" s="9"/>
      <c r="H200" s="9"/>
      <c r="I200" s="11"/>
      <c r="J200" s="9"/>
      <c r="K200" s="9"/>
      <c r="L200" s="9"/>
      <c r="M200" s="9"/>
      <c r="N200" s="9"/>
      <c r="O200" s="9"/>
    </row>
    <row r="201" spans="1:115">
      <c r="A201" s="2" t="s">
        <v>38</v>
      </c>
      <c r="B201" s="10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15" ht="18" customHeight="1">
      <c r="A202" s="221" t="s">
        <v>53</v>
      </c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</row>
    <row r="203" spans="1:115">
      <c r="A203" s="161" t="s">
        <v>51</v>
      </c>
    </row>
    <row r="204" spans="1:115">
      <c r="A204" s="218" t="s">
        <v>50</v>
      </c>
      <c r="B204" s="218"/>
      <c r="C204" s="218"/>
      <c r="D204" s="218"/>
      <c r="E204" s="218"/>
      <c r="F204" s="218"/>
      <c r="G204" s="218"/>
      <c r="H204" s="218"/>
    </row>
    <row r="205" spans="1:115">
      <c r="A205" s="161" t="s">
        <v>52</v>
      </c>
    </row>
  </sheetData>
  <mergeCells count="9">
    <mergeCell ref="A204:H204"/>
    <mergeCell ref="A1:O1"/>
    <mergeCell ref="A202:P202"/>
    <mergeCell ref="C2:O2"/>
    <mergeCell ref="C3:H3"/>
    <mergeCell ref="J3:O3"/>
    <mergeCell ref="A2:A4"/>
    <mergeCell ref="B2:B4"/>
    <mergeCell ref="A200:E2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3"/>
  <sheetViews>
    <sheetView workbookViewId="0">
      <selection activeCell="D26" sqref="D26"/>
    </sheetView>
    <sheetView workbookViewId="1">
      <selection sqref="A1:O1"/>
    </sheetView>
  </sheetViews>
  <sheetFormatPr defaultColWidth="17.42578125" defaultRowHeight="15"/>
  <cols>
    <col min="1" max="2" width="17.42578125" style="12"/>
    <col min="3" max="16384" width="17.42578125" style="5"/>
  </cols>
  <sheetData>
    <row r="1" spans="1:15" s="3" customFormat="1" ht="21" customHeight="1" thickBot="1">
      <c r="A1" s="219" t="s">
        <v>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3" customFormat="1">
      <c r="A2" s="255" t="s">
        <v>36</v>
      </c>
      <c r="B2" s="258" t="s">
        <v>37</v>
      </c>
      <c r="C2" s="251" t="s">
        <v>16</v>
      </c>
      <c r="D2" s="247"/>
      <c r="E2" s="247"/>
      <c r="F2" s="248"/>
      <c r="G2" s="246" t="s">
        <v>32</v>
      </c>
      <c r="H2" s="247"/>
      <c r="I2" s="248"/>
    </row>
    <row r="3" spans="1:15" s="3" customFormat="1">
      <c r="A3" s="256"/>
      <c r="B3" s="259"/>
      <c r="C3" s="252" t="s">
        <v>27</v>
      </c>
      <c r="D3" s="253"/>
      <c r="E3" s="252" t="s">
        <v>29</v>
      </c>
      <c r="F3" s="254"/>
      <c r="G3" s="156" t="s">
        <v>41</v>
      </c>
      <c r="H3" s="157" t="s">
        <v>42</v>
      </c>
      <c r="I3" s="158" t="s">
        <v>25</v>
      </c>
    </row>
    <row r="4" spans="1:15" ht="26.25" thickBot="1">
      <c r="A4" s="257"/>
      <c r="B4" s="260"/>
      <c r="C4" s="69" t="s">
        <v>31</v>
      </c>
      <c r="D4" s="160" t="s">
        <v>43</v>
      </c>
      <c r="E4" s="69" t="s">
        <v>31</v>
      </c>
      <c r="F4" s="160" t="s">
        <v>43</v>
      </c>
      <c r="G4" s="159" t="s">
        <v>28</v>
      </c>
      <c r="H4" s="70" t="s">
        <v>28</v>
      </c>
      <c r="I4" s="71" t="s">
        <v>28</v>
      </c>
      <c r="J4" s="3"/>
      <c r="K4" s="3"/>
      <c r="L4" s="3"/>
      <c r="M4" s="3"/>
      <c r="N4" s="3"/>
      <c r="O4" s="3"/>
    </row>
    <row r="5" spans="1:15">
      <c r="A5" s="25">
        <v>2000</v>
      </c>
      <c r="B5" s="28" t="s">
        <v>2</v>
      </c>
      <c r="C5" s="72">
        <v>118216</v>
      </c>
      <c r="D5" s="73">
        <v>0</v>
      </c>
      <c r="E5" s="72">
        <v>5316347</v>
      </c>
      <c r="F5" s="74">
        <f>-524723.45</f>
        <v>-524723.44999999995</v>
      </c>
      <c r="G5" s="75">
        <v>267724.59999999998</v>
      </c>
      <c r="H5" s="76">
        <v>439232.16</v>
      </c>
      <c r="I5" s="74">
        <f t="shared" ref="I5:I16" si="0">+G5+H5</f>
        <v>706956.76</v>
      </c>
    </row>
    <row r="6" spans="1:15">
      <c r="A6" s="25">
        <v>2000</v>
      </c>
      <c r="B6" s="28" t="s">
        <v>3</v>
      </c>
      <c r="C6" s="72">
        <v>141625</v>
      </c>
      <c r="D6" s="73">
        <v>0</v>
      </c>
      <c r="E6" s="72">
        <v>4890364</v>
      </c>
      <c r="F6" s="74">
        <f>-482678.93</f>
        <v>-482678.93</v>
      </c>
      <c r="G6" s="75">
        <v>249867.99</v>
      </c>
      <c r="H6" s="76">
        <v>432128.32</v>
      </c>
      <c r="I6" s="74">
        <f t="shared" si="0"/>
        <v>681996.31</v>
      </c>
    </row>
    <row r="7" spans="1:15">
      <c r="A7" s="25">
        <v>2000</v>
      </c>
      <c r="B7" s="28" t="s">
        <v>4</v>
      </c>
      <c r="C7" s="72">
        <v>143580</v>
      </c>
      <c r="D7" s="73">
        <v>0</v>
      </c>
      <c r="E7" s="72">
        <v>5447567</v>
      </c>
      <c r="F7" s="74">
        <v>-537683.74</v>
      </c>
      <c r="G7" s="75">
        <v>268128.5</v>
      </c>
      <c r="H7" s="76">
        <v>477848.89</v>
      </c>
      <c r="I7" s="74">
        <f t="shared" si="0"/>
        <v>745977.39</v>
      </c>
    </row>
    <row r="8" spans="1:15">
      <c r="A8" s="25">
        <v>2000</v>
      </c>
      <c r="B8" s="28" t="s">
        <v>5</v>
      </c>
      <c r="C8" s="72">
        <v>123457</v>
      </c>
      <c r="D8" s="73">
        <v>0</v>
      </c>
      <c r="E8" s="72">
        <v>5120512</v>
      </c>
      <c r="F8" s="74">
        <v>-505394.55</v>
      </c>
      <c r="G8" s="75">
        <v>256276.83</v>
      </c>
      <c r="H8" s="76">
        <v>373699.94</v>
      </c>
      <c r="I8" s="74">
        <f t="shared" si="0"/>
        <v>629976.77</v>
      </c>
    </row>
    <row r="9" spans="1:15">
      <c r="A9" s="25">
        <v>2000</v>
      </c>
      <c r="B9" s="28" t="s">
        <v>6</v>
      </c>
      <c r="C9" s="72">
        <v>176328</v>
      </c>
      <c r="D9" s="73">
        <v>0</v>
      </c>
      <c r="E9" s="72">
        <v>5646664</v>
      </c>
      <c r="F9" s="74">
        <v>-557325.74</v>
      </c>
      <c r="G9" s="75">
        <v>272518.24</v>
      </c>
      <c r="H9" s="76">
        <v>417286.04</v>
      </c>
      <c r="I9" s="74">
        <f t="shared" si="0"/>
        <v>689804.28</v>
      </c>
    </row>
    <row r="10" spans="1:15">
      <c r="A10" s="25">
        <v>2000</v>
      </c>
      <c r="B10" s="28" t="s">
        <v>7</v>
      </c>
      <c r="C10" s="72">
        <v>160737</v>
      </c>
      <c r="D10" s="73">
        <v>0</v>
      </c>
      <c r="E10" s="72">
        <v>5604904</v>
      </c>
      <c r="F10" s="74">
        <v>-553204.03</v>
      </c>
      <c r="G10" s="75">
        <v>255875.74</v>
      </c>
      <c r="H10" s="76">
        <v>398608.8</v>
      </c>
      <c r="I10" s="74">
        <f t="shared" si="0"/>
        <v>654484.54</v>
      </c>
    </row>
    <row r="11" spans="1:15">
      <c r="A11" s="25">
        <v>2000</v>
      </c>
      <c r="B11" s="28" t="s">
        <v>8</v>
      </c>
      <c r="C11" s="72">
        <v>157084</v>
      </c>
      <c r="D11" s="73">
        <v>0</v>
      </c>
      <c r="E11" s="72">
        <v>5580707</v>
      </c>
      <c r="F11" s="74">
        <v>-550815.81999999995</v>
      </c>
      <c r="G11" s="75">
        <v>270523</v>
      </c>
      <c r="H11" s="76">
        <v>410672.25</v>
      </c>
      <c r="I11" s="74">
        <f t="shared" si="0"/>
        <v>681195.25</v>
      </c>
    </row>
    <row r="12" spans="1:15">
      <c r="A12" s="25">
        <v>2000</v>
      </c>
      <c r="B12" s="28" t="s">
        <v>9</v>
      </c>
      <c r="C12" s="72">
        <v>231147</v>
      </c>
      <c r="D12" s="73">
        <v>0</v>
      </c>
      <c r="E12" s="72">
        <v>5756501</v>
      </c>
      <c r="F12" s="74">
        <v>-568466.66</v>
      </c>
      <c r="G12" s="75">
        <v>278624.96000000002</v>
      </c>
      <c r="H12" s="76">
        <v>454506.83</v>
      </c>
      <c r="I12" s="74">
        <f t="shared" si="0"/>
        <v>733131.79</v>
      </c>
    </row>
    <row r="13" spans="1:15">
      <c r="A13" s="25">
        <v>2000</v>
      </c>
      <c r="B13" s="28" t="s">
        <v>10</v>
      </c>
      <c r="C13" s="72">
        <v>251219</v>
      </c>
      <c r="D13" s="73">
        <v>0</v>
      </c>
      <c r="E13" s="72">
        <v>5435461</v>
      </c>
      <c r="F13" s="74">
        <v>-536479.98</v>
      </c>
      <c r="G13" s="75">
        <v>266577.67</v>
      </c>
      <c r="H13" s="76">
        <v>388880.5</v>
      </c>
      <c r="I13" s="74">
        <f t="shared" si="0"/>
        <v>655458.16999999993</v>
      </c>
    </row>
    <row r="14" spans="1:15">
      <c r="A14" s="25">
        <v>2000</v>
      </c>
      <c r="B14" s="28" t="s">
        <v>11</v>
      </c>
      <c r="C14" s="72">
        <v>254264</v>
      </c>
      <c r="D14" s="73">
        <v>0</v>
      </c>
      <c r="E14" s="72">
        <v>5312202</v>
      </c>
      <c r="F14" s="74">
        <v>-524314.31999999995</v>
      </c>
      <c r="G14" s="75">
        <v>283417.14</v>
      </c>
      <c r="H14" s="76">
        <v>446988.29</v>
      </c>
      <c r="I14" s="74">
        <f t="shared" si="0"/>
        <v>730405.42999999993</v>
      </c>
    </row>
    <row r="15" spans="1:15">
      <c r="A15" s="25">
        <v>2000</v>
      </c>
      <c r="B15" s="28" t="s">
        <v>12</v>
      </c>
      <c r="C15" s="72">
        <v>224103</v>
      </c>
      <c r="D15" s="73">
        <v>0</v>
      </c>
      <c r="E15" s="72">
        <v>4833360</v>
      </c>
      <c r="F15" s="74">
        <v>-477052.65</v>
      </c>
      <c r="G15" s="75">
        <v>271010.03000000003</v>
      </c>
      <c r="H15" s="76">
        <v>438963</v>
      </c>
      <c r="I15" s="74">
        <f t="shared" si="0"/>
        <v>709973.03</v>
      </c>
    </row>
    <row r="16" spans="1:15" s="3" customFormat="1" ht="15.75" thickBot="1">
      <c r="A16" s="25">
        <v>2000</v>
      </c>
      <c r="B16" s="28" t="s">
        <v>13</v>
      </c>
      <c r="C16" s="72">
        <v>229062</v>
      </c>
      <c r="D16" s="73">
        <v>0</v>
      </c>
      <c r="E16" s="72">
        <v>4757978</v>
      </c>
      <c r="F16" s="74">
        <v>-469612.45</v>
      </c>
      <c r="G16" s="75">
        <v>273040.07</v>
      </c>
      <c r="H16" s="76">
        <v>518402.24</v>
      </c>
      <c r="I16" s="74">
        <f t="shared" si="0"/>
        <v>791442.31</v>
      </c>
      <c r="J16" s="5"/>
      <c r="K16" s="5"/>
      <c r="L16" s="5"/>
      <c r="M16" s="5"/>
      <c r="N16" s="5"/>
      <c r="O16" s="5"/>
    </row>
    <row r="17" spans="1:15" ht="16.5" thickTop="1" thickBot="1">
      <c r="A17" s="33">
        <v>2000</v>
      </c>
      <c r="B17" s="34" t="s">
        <v>14</v>
      </c>
      <c r="C17" s="77">
        <f t="shared" ref="C17:I17" si="1">SUM(C5:C16)</f>
        <v>2210822</v>
      </c>
      <c r="D17" s="78">
        <f t="shared" si="1"/>
        <v>0</v>
      </c>
      <c r="E17" s="77">
        <f t="shared" si="1"/>
        <v>63702567</v>
      </c>
      <c r="F17" s="79">
        <f t="shared" si="1"/>
        <v>-6287752.3200000012</v>
      </c>
      <c r="G17" s="80">
        <f t="shared" si="1"/>
        <v>3213584.77</v>
      </c>
      <c r="H17" s="81">
        <f t="shared" si="1"/>
        <v>5197217.26</v>
      </c>
      <c r="I17" s="79">
        <f t="shared" si="1"/>
        <v>8410802.0299999993</v>
      </c>
      <c r="J17" s="3"/>
      <c r="K17" s="3"/>
      <c r="L17" s="3"/>
      <c r="M17" s="3"/>
      <c r="N17" s="3"/>
      <c r="O17" s="3"/>
    </row>
    <row r="18" spans="1:15" ht="15.75" thickTop="1">
      <c r="A18" s="25">
        <v>2001</v>
      </c>
      <c r="B18" s="28" t="s">
        <v>2</v>
      </c>
      <c r="C18" s="72">
        <v>252340</v>
      </c>
      <c r="D18" s="73">
        <v>0</v>
      </c>
      <c r="E18" s="72">
        <v>5010364</v>
      </c>
      <c r="F18" s="74">
        <v>-494522.93</v>
      </c>
      <c r="G18" s="75">
        <v>286007</v>
      </c>
      <c r="H18" s="76">
        <v>558664.93999999994</v>
      </c>
      <c r="I18" s="74">
        <f t="shared" ref="I18:I29" si="2">+G18+H18</f>
        <v>844671.94</v>
      </c>
    </row>
    <row r="19" spans="1:15">
      <c r="A19" s="25">
        <v>2001</v>
      </c>
      <c r="B19" s="28" t="s">
        <v>3</v>
      </c>
      <c r="C19" s="72">
        <v>247212</v>
      </c>
      <c r="D19" s="73">
        <v>0</v>
      </c>
      <c r="E19" s="72">
        <v>4478268</v>
      </c>
      <c r="F19" s="74">
        <v>-442005.03</v>
      </c>
      <c r="G19" s="75">
        <v>255083</v>
      </c>
      <c r="H19" s="76">
        <v>518226</v>
      </c>
      <c r="I19" s="74">
        <f t="shared" si="2"/>
        <v>773309</v>
      </c>
    </row>
    <row r="20" spans="1:15">
      <c r="A20" s="25">
        <v>2001</v>
      </c>
      <c r="B20" s="28" t="s">
        <v>4</v>
      </c>
      <c r="C20" s="72">
        <v>149692</v>
      </c>
      <c r="D20" s="73">
        <v>0</v>
      </c>
      <c r="E20" s="72">
        <v>5128132</v>
      </c>
      <c r="F20" s="74">
        <v>-506146.64</v>
      </c>
      <c r="G20" s="75">
        <v>274703</v>
      </c>
      <c r="H20" s="76">
        <v>612231</v>
      </c>
      <c r="I20" s="74">
        <f t="shared" si="2"/>
        <v>886934</v>
      </c>
    </row>
    <row r="21" spans="1:15">
      <c r="A21" s="25">
        <v>2001</v>
      </c>
      <c r="B21" s="28" t="s">
        <v>5</v>
      </c>
      <c r="C21" s="72">
        <v>146981</v>
      </c>
      <c r="D21" s="73">
        <v>0</v>
      </c>
      <c r="E21" s="72">
        <v>4931878</v>
      </c>
      <c r="F21" s="74">
        <v>-486776.34</v>
      </c>
      <c r="G21" s="75">
        <v>262032</v>
      </c>
      <c r="H21" s="76">
        <v>527186</v>
      </c>
      <c r="I21" s="74">
        <f t="shared" si="2"/>
        <v>789218</v>
      </c>
    </row>
    <row r="22" spans="1:15">
      <c r="A22" s="25">
        <v>2001</v>
      </c>
      <c r="B22" s="28" t="s">
        <v>6</v>
      </c>
      <c r="C22" s="72">
        <v>160973</v>
      </c>
      <c r="D22" s="73">
        <v>0</v>
      </c>
      <c r="E22" s="72">
        <v>5618039</v>
      </c>
      <c r="F22" s="74">
        <v>-554500.46</v>
      </c>
      <c r="G22" s="75">
        <v>276294</v>
      </c>
      <c r="H22" s="76">
        <v>529394</v>
      </c>
      <c r="I22" s="74">
        <f t="shared" si="2"/>
        <v>805688</v>
      </c>
    </row>
    <row r="23" spans="1:15">
      <c r="A23" s="25">
        <v>2001</v>
      </c>
      <c r="B23" s="28" t="s">
        <v>7</v>
      </c>
      <c r="C23" s="72">
        <v>160166</v>
      </c>
      <c r="D23" s="73">
        <v>0</v>
      </c>
      <c r="E23" s="72">
        <v>5264527</v>
      </c>
      <c r="F23" s="74">
        <v>-519608.82</v>
      </c>
      <c r="G23" s="75">
        <v>258540</v>
      </c>
      <c r="H23" s="76">
        <v>562624</v>
      </c>
      <c r="I23" s="74">
        <f t="shared" si="2"/>
        <v>821164</v>
      </c>
    </row>
    <row r="24" spans="1:15">
      <c r="A24" s="25">
        <v>2001</v>
      </c>
      <c r="B24" s="28" t="s">
        <v>8</v>
      </c>
      <c r="C24" s="72">
        <v>159569</v>
      </c>
      <c r="D24" s="73">
        <v>-5233.8599999999997</v>
      </c>
      <c r="E24" s="72">
        <v>5471004</v>
      </c>
      <c r="F24" s="74">
        <v>-539988.07999999996</v>
      </c>
      <c r="G24" s="75">
        <v>269478</v>
      </c>
      <c r="H24" s="76">
        <v>582403</v>
      </c>
      <c r="I24" s="74">
        <f t="shared" si="2"/>
        <v>851881</v>
      </c>
    </row>
    <row r="25" spans="1:15">
      <c r="A25" s="25">
        <v>2001</v>
      </c>
      <c r="B25" s="28" t="s">
        <v>9</v>
      </c>
      <c r="C25" s="72">
        <v>155138</v>
      </c>
      <c r="D25" s="73">
        <v>-6748.5</v>
      </c>
      <c r="E25" s="72">
        <v>5702706</v>
      </c>
      <c r="F25" s="74">
        <v>-562857.07999999996</v>
      </c>
      <c r="G25" s="75">
        <v>276423</v>
      </c>
      <c r="H25" s="76">
        <v>444037</v>
      </c>
      <c r="I25" s="74">
        <f t="shared" si="2"/>
        <v>720460</v>
      </c>
    </row>
    <row r="26" spans="1:15">
      <c r="A26" s="25">
        <v>2001</v>
      </c>
      <c r="B26" s="28" t="s">
        <v>10</v>
      </c>
      <c r="C26" s="72">
        <v>160273</v>
      </c>
      <c r="D26" s="73">
        <v>-5080.6499999999996</v>
      </c>
      <c r="E26" s="72">
        <v>5213931</v>
      </c>
      <c r="F26" s="74">
        <v>-514614.97</v>
      </c>
      <c r="G26" s="75">
        <v>313275</v>
      </c>
      <c r="H26" s="76">
        <v>486127</v>
      </c>
      <c r="I26" s="74">
        <f t="shared" si="2"/>
        <v>799402</v>
      </c>
    </row>
    <row r="27" spans="1:15">
      <c r="A27" s="25">
        <v>2001</v>
      </c>
      <c r="B27" s="28" t="s">
        <v>11</v>
      </c>
      <c r="C27" s="72">
        <v>157686</v>
      </c>
      <c r="D27" s="73">
        <v>-1971.11</v>
      </c>
      <c r="E27" s="72">
        <v>5424068</v>
      </c>
      <c r="F27" s="74">
        <v>-535355.51</v>
      </c>
      <c r="G27" s="75">
        <v>326652</v>
      </c>
      <c r="H27" s="76">
        <v>500562</v>
      </c>
      <c r="I27" s="74">
        <f t="shared" si="2"/>
        <v>827214</v>
      </c>
    </row>
    <row r="28" spans="1:15">
      <c r="A28" s="25">
        <v>2001</v>
      </c>
      <c r="B28" s="28" t="s">
        <v>12</v>
      </c>
      <c r="C28" s="72">
        <v>137966</v>
      </c>
      <c r="D28" s="73">
        <v>-13106.8</v>
      </c>
      <c r="E28" s="72">
        <v>5048441</v>
      </c>
      <c r="F28" s="74">
        <v>-498281.14</v>
      </c>
      <c r="G28" s="75">
        <v>315881.14</v>
      </c>
      <c r="H28" s="76">
        <v>456009.88</v>
      </c>
      <c r="I28" s="74">
        <f t="shared" si="2"/>
        <v>771891.02</v>
      </c>
    </row>
    <row r="29" spans="1:15" s="3" customFormat="1" ht="15.75" thickBot="1">
      <c r="A29" s="26">
        <v>2001</v>
      </c>
      <c r="B29" s="29" t="s">
        <v>13</v>
      </c>
      <c r="C29" s="82">
        <v>120764</v>
      </c>
      <c r="D29" s="83">
        <v>-1437.1</v>
      </c>
      <c r="E29" s="82">
        <v>4748848</v>
      </c>
      <c r="F29" s="84">
        <v>-468711.29</v>
      </c>
      <c r="G29" s="85">
        <v>323098.38</v>
      </c>
      <c r="H29" s="86">
        <v>406213.12</v>
      </c>
      <c r="I29" s="84">
        <f t="shared" si="2"/>
        <v>729311.5</v>
      </c>
      <c r="J29" s="5"/>
      <c r="K29" s="5"/>
      <c r="L29" s="5"/>
      <c r="M29" s="5"/>
      <c r="N29" s="5"/>
      <c r="O29" s="5"/>
    </row>
    <row r="30" spans="1:15" ht="16.5" thickTop="1" thickBot="1">
      <c r="A30" s="31">
        <v>2001</v>
      </c>
      <c r="B30" s="32" t="s">
        <v>14</v>
      </c>
      <c r="C30" s="87">
        <f t="shared" ref="C30:I30" si="3">SUM(C18:C29)</f>
        <v>2008760</v>
      </c>
      <c r="D30" s="88">
        <f t="shared" si="3"/>
        <v>-33578.020000000004</v>
      </c>
      <c r="E30" s="87">
        <f t="shared" si="3"/>
        <v>62040206</v>
      </c>
      <c r="F30" s="89">
        <f t="shared" si="3"/>
        <v>-6123368.29</v>
      </c>
      <c r="G30" s="90">
        <f t="shared" si="3"/>
        <v>3437466.52</v>
      </c>
      <c r="H30" s="91">
        <f t="shared" si="3"/>
        <v>6183677.9399999995</v>
      </c>
      <c r="I30" s="89">
        <f t="shared" si="3"/>
        <v>9621144.459999999</v>
      </c>
      <c r="J30" s="3"/>
      <c r="K30" s="3"/>
      <c r="L30" s="3"/>
      <c r="M30" s="3"/>
      <c r="N30" s="3"/>
      <c r="O30" s="3"/>
    </row>
    <row r="31" spans="1:15" ht="15.75" thickTop="1">
      <c r="A31" s="25">
        <v>2002</v>
      </c>
      <c r="B31" s="28" t="s">
        <v>2</v>
      </c>
      <c r="C31" s="72">
        <v>129007</v>
      </c>
      <c r="D31" s="73">
        <v>-4037.91</v>
      </c>
      <c r="E31" s="72">
        <v>5287105</v>
      </c>
      <c r="F31" s="74">
        <v>-521837.25</v>
      </c>
      <c r="G31" s="75">
        <v>328250.65999999997</v>
      </c>
      <c r="H31" s="76">
        <v>424937.51</v>
      </c>
      <c r="I31" s="74">
        <f t="shared" ref="I31:I42" si="4">SUM(G31:H31)</f>
        <v>753188.16999999993</v>
      </c>
    </row>
    <row r="32" spans="1:15">
      <c r="A32" s="25">
        <v>2002</v>
      </c>
      <c r="B32" s="28" t="s">
        <v>3</v>
      </c>
      <c r="C32" s="72">
        <v>124678</v>
      </c>
      <c r="D32" s="73">
        <v>-3341.38</v>
      </c>
      <c r="E32" s="72">
        <v>4742212</v>
      </c>
      <c r="F32" s="74">
        <v>-468056.34</v>
      </c>
      <c r="G32" s="75">
        <v>286786.38</v>
      </c>
      <c r="H32" s="76">
        <v>472398</v>
      </c>
      <c r="I32" s="74">
        <f t="shared" si="4"/>
        <v>759184.38</v>
      </c>
    </row>
    <row r="33" spans="1:15">
      <c r="A33" s="25">
        <v>2002</v>
      </c>
      <c r="B33" s="28" t="s">
        <v>4</v>
      </c>
      <c r="C33" s="72">
        <v>153585</v>
      </c>
      <c r="D33" s="73">
        <v>-3593.88</v>
      </c>
      <c r="E33" s="72">
        <v>5527107</v>
      </c>
      <c r="F33" s="74">
        <v>545525.47</v>
      </c>
      <c r="G33" s="75">
        <v>316637.90999999997</v>
      </c>
      <c r="H33" s="76">
        <v>715290.05</v>
      </c>
      <c r="I33" s="74">
        <f t="shared" si="4"/>
        <v>1031927.96</v>
      </c>
    </row>
    <row r="34" spans="1:15">
      <c r="A34" s="25">
        <v>2002</v>
      </c>
      <c r="B34" s="28" t="s">
        <v>5</v>
      </c>
      <c r="C34" s="72">
        <v>182893</v>
      </c>
      <c r="D34" s="73">
        <v>-4371.1499999999996</v>
      </c>
      <c r="E34" s="72">
        <v>5563418</v>
      </c>
      <c r="F34" s="74">
        <v>-549109.36</v>
      </c>
      <c r="G34" s="75">
        <v>304002</v>
      </c>
      <c r="H34" s="76">
        <v>585375.18000000005</v>
      </c>
      <c r="I34" s="74">
        <f t="shared" si="4"/>
        <v>889377.18</v>
      </c>
    </row>
    <row r="35" spans="1:15">
      <c r="A35" s="25">
        <v>2002</v>
      </c>
      <c r="B35" s="28" t="s">
        <v>6</v>
      </c>
      <c r="C35" s="72">
        <v>179307</v>
      </c>
      <c r="D35" s="73">
        <v>-4285.4399999999996</v>
      </c>
      <c r="E35" s="72">
        <v>5953925</v>
      </c>
      <c r="F35" s="74">
        <v>-587652.41</v>
      </c>
      <c r="G35" s="75">
        <v>316861.87</v>
      </c>
      <c r="H35" s="76">
        <v>662137.13</v>
      </c>
      <c r="I35" s="74">
        <f t="shared" si="4"/>
        <v>978999</v>
      </c>
    </row>
    <row r="36" spans="1:15">
      <c r="A36" s="25">
        <v>2002</v>
      </c>
      <c r="B36" s="28" t="s">
        <v>7</v>
      </c>
      <c r="C36" s="72">
        <v>151863</v>
      </c>
      <c r="D36" s="73">
        <v>-4085.1</v>
      </c>
      <c r="E36" s="72">
        <v>5599738</v>
      </c>
      <c r="F36" s="74">
        <v>-552694.15</v>
      </c>
      <c r="G36" s="75">
        <v>303570.74</v>
      </c>
      <c r="H36" s="76">
        <v>626233.24</v>
      </c>
      <c r="I36" s="74">
        <f t="shared" si="4"/>
        <v>929803.98</v>
      </c>
    </row>
    <row r="37" spans="1:15">
      <c r="A37" s="25">
        <v>2002</v>
      </c>
      <c r="B37" s="28" t="s">
        <v>8</v>
      </c>
      <c r="C37" s="72">
        <v>168802</v>
      </c>
      <c r="D37" s="73">
        <v>-4270.68</v>
      </c>
      <c r="E37" s="72">
        <v>5947664</v>
      </c>
      <c r="F37" s="74">
        <v>-587034.44999999995</v>
      </c>
      <c r="G37" s="75">
        <v>317726.77</v>
      </c>
      <c r="H37" s="76">
        <v>640781.42000000004</v>
      </c>
      <c r="I37" s="74">
        <f t="shared" si="4"/>
        <v>958508.19000000006</v>
      </c>
    </row>
    <row r="38" spans="1:15">
      <c r="A38" s="25">
        <v>2002</v>
      </c>
      <c r="B38" s="28" t="s">
        <v>9</v>
      </c>
      <c r="C38" s="72">
        <v>153630</v>
      </c>
      <c r="D38" s="73">
        <v>-3779.31</v>
      </c>
      <c r="E38" s="72">
        <v>5913046</v>
      </c>
      <c r="F38" s="74">
        <v>-583617.66</v>
      </c>
      <c r="G38" s="75">
        <v>320141.83</v>
      </c>
      <c r="H38" s="76">
        <v>838566.09</v>
      </c>
      <c r="I38" s="74">
        <f t="shared" si="4"/>
        <v>1158707.92</v>
      </c>
    </row>
    <row r="39" spans="1:15">
      <c r="A39" s="25">
        <v>2002</v>
      </c>
      <c r="B39" s="28" t="s">
        <v>10</v>
      </c>
      <c r="C39" s="72">
        <v>162464</v>
      </c>
      <c r="D39" s="73">
        <v>-3736.68</v>
      </c>
      <c r="E39" s="72">
        <v>5961686</v>
      </c>
      <c r="F39" s="74">
        <v>-588418.39</v>
      </c>
      <c r="G39" s="75">
        <v>313669.40999999997</v>
      </c>
      <c r="H39" s="76">
        <v>770611.59</v>
      </c>
      <c r="I39" s="74">
        <f t="shared" si="4"/>
        <v>1084281</v>
      </c>
    </row>
    <row r="40" spans="1:15">
      <c r="A40" s="25">
        <v>2002</v>
      </c>
      <c r="B40" s="28" t="s">
        <v>11</v>
      </c>
      <c r="C40" s="72">
        <v>147297</v>
      </c>
      <c r="D40" s="73">
        <v>0</v>
      </c>
      <c r="E40" s="72">
        <v>5801204</v>
      </c>
      <c r="F40" s="74">
        <v>-572578.86</v>
      </c>
      <c r="G40" s="75">
        <v>331547.90000000002</v>
      </c>
      <c r="H40" s="76">
        <v>820260.92</v>
      </c>
      <c r="I40" s="74">
        <f t="shared" si="4"/>
        <v>1151808.82</v>
      </c>
    </row>
    <row r="41" spans="1:15">
      <c r="A41" s="25">
        <v>2002</v>
      </c>
      <c r="B41" s="28" t="s">
        <v>12</v>
      </c>
      <c r="C41" s="72">
        <v>182525</v>
      </c>
      <c r="D41" s="73">
        <v>-19274.650000000001</v>
      </c>
      <c r="E41" s="72">
        <v>5375019</v>
      </c>
      <c r="F41" s="74">
        <v>-530514.38</v>
      </c>
      <c r="G41" s="75">
        <v>322263.34000000003</v>
      </c>
      <c r="H41" s="76">
        <v>751582.79</v>
      </c>
      <c r="I41" s="74">
        <f t="shared" si="4"/>
        <v>1073846.1300000001</v>
      </c>
    </row>
    <row r="42" spans="1:15" s="3" customFormat="1" ht="15.75" thickBot="1">
      <c r="A42" s="25">
        <v>2002</v>
      </c>
      <c r="B42" s="28" t="s">
        <v>13</v>
      </c>
      <c r="C42" s="72">
        <v>153466</v>
      </c>
      <c r="D42" s="73">
        <v>-10865.39</v>
      </c>
      <c r="E42" s="72">
        <v>5409561</v>
      </c>
      <c r="F42" s="74">
        <v>-533923.68000000005</v>
      </c>
      <c r="G42" s="75">
        <v>323445.44</v>
      </c>
      <c r="H42" s="76">
        <v>783670.02</v>
      </c>
      <c r="I42" s="74">
        <f t="shared" si="4"/>
        <v>1107115.46</v>
      </c>
      <c r="J42" s="5"/>
      <c r="K42" s="5"/>
      <c r="L42" s="5"/>
      <c r="M42" s="5"/>
      <c r="N42" s="5"/>
      <c r="O42" s="5"/>
    </row>
    <row r="43" spans="1:15" ht="16.5" thickTop="1" thickBot="1">
      <c r="A43" s="33">
        <v>2002</v>
      </c>
      <c r="B43" s="34" t="s">
        <v>14</v>
      </c>
      <c r="C43" s="77">
        <f t="shared" ref="C43:I43" si="5">SUM(C31:C42)</f>
        <v>1889517</v>
      </c>
      <c r="D43" s="78">
        <f t="shared" si="5"/>
        <v>-65641.570000000007</v>
      </c>
      <c r="E43" s="77">
        <f t="shared" si="5"/>
        <v>67081685</v>
      </c>
      <c r="F43" s="79">
        <f t="shared" si="5"/>
        <v>-5529911.46</v>
      </c>
      <c r="G43" s="80">
        <f t="shared" si="5"/>
        <v>3784904.25</v>
      </c>
      <c r="H43" s="81">
        <f t="shared" si="5"/>
        <v>8091843.9399999995</v>
      </c>
      <c r="I43" s="79">
        <f t="shared" si="5"/>
        <v>11876748.190000001</v>
      </c>
      <c r="J43" s="3"/>
      <c r="K43" s="3"/>
      <c r="L43" s="3"/>
      <c r="M43" s="3"/>
      <c r="N43" s="3"/>
      <c r="O43" s="3"/>
    </row>
    <row r="44" spans="1:15" ht="15.75" thickTop="1">
      <c r="A44" s="25">
        <v>2003</v>
      </c>
      <c r="B44" s="28" t="s">
        <v>2</v>
      </c>
      <c r="C44" s="72">
        <v>167024</v>
      </c>
      <c r="D44" s="73">
        <v>-18756.8</v>
      </c>
      <c r="E44" s="72">
        <v>5733557</v>
      </c>
      <c r="F44" s="74">
        <v>-565902.07999999996</v>
      </c>
      <c r="G44" s="75">
        <v>334609.23</v>
      </c>
      <c r="H44" s="76">
        <v>787484.85</v>
      </c>
      <c r="I44" s="74">
        <f t="shared" ref="I44:I55" si="6">SUM(G44:H44)</f>
        <v>1122094.0800000001</v>
      </c>
    </row>
    <row r="45" spans="1:15">
      <c r="A45" s="25">
        <v>2003</v>
      </c>
      <c r="B45" s="28" t="s">
        <v>3</v>
      </c>
      <c r="C45" s="72">
        <v>136191</v>
      </c>
      <c r="D45" s="73">
        <v>-8185.09</v>
      </c>
      <c r="E45" s="72">
        <v>5173289</v>
      </c>
      <c r="F45" s="74">
        <v>-510603.63</v>
      </c>
      <c r="G45" s="75">
        <v>298604.84000000003</v>
      </c>
      <c r="H45" s="76">
        <v>755553.87</v>
      </c>
      <c r="I45" s="74">
        <f t="shared" si="6"/>
        <v>1054158.71</v>
      </c>
    </row>
    <row r="46" spans="1:15">
      <c r="A46" s="25">
        <v>2003</v>
      </c>
      <c r="B46" s="28" t="s">
        <v>4</v>
      </c>
      <c r="C46" s="72">
        <v>153236</v>
      </c>
      <c r="D46" s="73">
        <v>-11416.08</v>
      </c>
      <c r="E46" s="72">
        <v>5909059</v>
      </c>
      <c r="F46" s="74">
        <v>-583224.15</v>
      </c>
      <c r="G46" s="75">
        <v>323893.93</v>
      </c>
      <c r="H46" s="76">
        <v>833055.31</v>
      </c>
      <c r="I46" s="74">
        <f t="shared" si="6"/>
        <v>1156949.24</v>
      </c>
    </row>
    <row r="47" spans="1:15">
      <c r="A47" s="25">
        <v>2003</v>
      </c>
      <c r="B47" s="28" t="s">
        <v>5</v>
      </c>
      <c r="C47" s="72">
        <v>143233</v>
      </c>
      <c r="D47" s="73">
        <v>-4325.6400000000003</v>
      </c>
      <c r="E47" s="72">
        <v>5566726</v>
      </c>
      <c r="F47" s="74">
        <v>-549435.82999999996</v>
      </c>
      <c r="G47" s="75">
        <v>314760.37</v>
      </c>
      <c r="H47" s="76">
        <v>826973.35</v>
      </c>
      <c r="I47" s="74">
        <f t="shared" si="6"/>
        <v>1141733.72</v>
      </c>
    </row>
    <row r="48" spans="1:15">
      <c r="A48" s="25">
        <v>2003</v>
      </c>
      <c r="B48" s="28" t="s">
        <v>6</v>
      </c>
      <c r="C48" s="72">
        <v>178852</v>
      </c>
      <c r="D48" s="73">
        <v>-5741.14</v>
      </c>
      <c r="E48" s="72">
        <v>5918163</v>
      </c>
      <c r="F48" s="74">
        <v>-584122.69999999995</v>
      </c>
      <c r="G48" s="75">
        <v>310727.83</v>
      </c>
      <c r="H48" s="76">
        <v>766112.99</v>
      </c>
      <c r="I48" s="74">
        <f t="shared" si="6"/>
        <v>1076840.82</v>
      </c>
    </row>
    <row r="49" spans="1:15">
      <c r="A49" s="25">
        <v>2003</v>
      </c>
      <c r="B49" s="28" t="s">
        <v>7</v>
      </c>
      <c r="C49" s="72">
        <v>170241</v>
      </c>
      <c r="D49" s="73">
        <v>-6332.95</v>
      </c>
      <c r="E49" s="72">
        <v>5784577</v>
      </c>
      <c r="F49" s="74">
        <v>-570937.75</v>
      </c>
      <c r="G49" s="75">
        <v>289658.83</v>
      </c>
      <c r="H49" s="76">
        <v>709763.28</v>
      </c>
      <c r="I49" s="74">
        <f t="shared" si="6"/>
        <v>999422.1100000001</v>
      </c>
    </row>
    <row r="50" spans="1:15">
      <c r="A50" s="25">
        <v>2003</v>
      </c>
      <c r="B50" s="28" t="s">
        <v>8</v>
      </c>
      <c r="C50" s="72">
        <v>171350</v>
      </c>
      <c r="D50" s="73">
        <v>-4969.16</v>
      </c>
      <c r="E50" s="72">
        <v>6065452</v>
      </c>
      <c r="F50" s="74">
        <v>-598660.13</v>
      </c>
      <c r="G50" s="75">
        <v>289779.21000000002</v>
      </c>
      <c r="H50" s="76">
        <v>829552.84</v>
      </c>
      <c r="I50" s="74">
        <f t="shared" si="6"/>
        <v>1119332.05</v>
      </c>
    </row>
    <row r="51" spans="1:15">
      <c r="A51" s="25">
        <v>2003</v>
      </c>
      <c r="B51" s="28" t="s">
        <v>9</v>
      </c>
      <c r="C51" s="72">
        <v>176139</v>
      </c>
      <c r="D51" s="73">
        <v>-34963.61</v>
      </c>
      <c r="E51" s="72">
        <v>5630562</v>
      </c>
      <c r="F51" s="74">
        <v>-555736.46</v>
      </c>
      <c r="G51" s="75">
        <v>293630.98</v>
      </c>
      <c r="H51" s="76">
        <v>783842.51</v>
      </c>
      <c r="I51" s="74">
        <f t="shared" si="6"/>
        <v>1077473.49</v>
      </c>
    </row>
    <row r="52" spans="1:15">
      <c r="A52" s="25">
        <v>2003</v>
      </c>
      <c r="B52" s="28" t="s">
        <v>10</v>
      </c>
      <c r="C52" s="72">
        <v>199443</v>
      </c>
      <c r="D52" s="73">
        <v>-39589.43</v>
      </c>
      <c r="E52" s="72">
        <v>5767836</v>
      </c>
      <c r="F52" s="74">
        <v>-569285.42000000004</v>
      </c>
      <c r="G52" s="75">
        <v>291326.19</v>
      </c>
      <c r="H52" s="76">
        <v>921097.75</v>
      </c>
      <c r="I52" s="74">
        <f t="shared" si="6"/>
        <v>1212423.94</v>
      </c>
    </row>
    <row r="53" spans="1:15">
      <c r="A53" s="25">
        <v>2003</v>
      </c>
      <c r="B53" s="28" t="s">
        <v>11</v>
      </c>
      <c r="C53" s="72">
        <v>242766</v>
      </c>
      <c r="D53" s="73">
        <v>-48189.06</v>
      </c>
      <c r="E53" s="72">
        <v>6001152</v>
      </c>
      <c r="F53" s="74">
        <v>-592313.67000000004</v>
      </c>
      <c r="G53" s="75">
        <v>313728.65999999997</v>
      </c>
      <c r="H53" s="76">
        <v>912095.13</v>
      </c>
      <c r="I53" s="74">
        <f t="shared" si="6"/>
        <v>1225823.79</v>
      </c>
    </row>
    <row r="54" spans="1:15">
      <c r="A54" s="25">
        <v>2003</v>
      </c>
      <c r="B54" s="28" t="s">
        <v>12</v>
      </c>
      <c r="C54" s="72">
        <v>158830</v>
      </c>
      <c r="D54" s="73">
        <v>-31527.77</v>
      </c>
      <c r="E54" s="72">
        <v>4916073</v>
      </c>
      <c r="F54" s="74">
        <v>-485216.41</v>
      </c>
      <c r="G54" s="75">
        <v>300889.3</v>
      </c>
      <c r="H54" s="76">
        <v>872488.02</v>
      </c>
      <c r="I54" s="74">
        <f t="shared" si="6"/>
        <v>1173377.32</v>
      </c>
    </row>
    <row r="55" spans="1:15" s="3" customFormat="1" ht="15.75" thickBot="1">
      <c r="A55" s="26">
        <v>2003</v>
      </c>
      <c r="B55" s="29" t="s">
        <v>13</v>
      </c>
      <c r="C55" s="82">
        <v>147839</v>
      </c>
      <c r="D55" s="83">
        <v>-29346.06</v>
      </c>
      <c r="E55" s="82">
        <v>4976000</v>
      </c>
      <c r="F55" s="84">
        <v>-491131.19</v>
      </c>
      <c r="G55" s="85">
        <v>309181.8</v>
      </c>
      <c r="H55" s="86">
        <v>850196.31</v>
      </c>
      <c r="I55" s="84">
        <f t="shared" si="6"/>
        <v>1159378.1100000001</v>
      </c>
      <c r="J55" s="5"/>
      <c r="K55" s="5"/>
      <c r="L55" s="5"/>
      <c r="M55" s="5"/>
      <c r="N55" s="5"/>
      <c r="O55" s="5"/>
    </row>
    <row r="56" spans="1:15" ht="16.5" thickTop="1" thickBot="1">
      <c r="A56" s="31">
        <v>2003</v>
      </c>
      <c r="B56" s="32" t="s">
        <v>14</v>
      </c>
      <c r="C56" s="87">
        <f t="shared" ref="C56:I56" si="7">SUM(C44:C55)</f>
        <v>2045144</v>
      </c>
      <c r="D56" s="88">
        <f t="shared" si="7"/>
        <v>-243342.78999999998</v>
      </c>
      <c r="E56" s="87">
        <f t="shared" si="7"/>
        <v>67442446</v>
      </c>
      <c r="F56" s="89">
        <f t="shared" si="7"/>
        <v>-6656569.4199999999</v>
      </c>
      <c r="G56" s="90">
        <f t="shared" si="7"/>
        <v>3670791.17</v>
      </c>
      <c r="H56" s="91">
        <f t="shared" si="7"/>
        <v>9848216.2100000009</v>
      </c>
      <c r="I56" s="89">
        <f t="shared" si="7"/>
        <v>13519007.379999999</v>
      </c>
      <c r="J56" s="3"/>
      <c r="K56" s="3"/>
      <c r="L56" s="3"/>
      <c r="M56" s="3"/>
      <c r="N56" s="3"/>
      <c r="O56" s="3"/>
    </row>
    <row r="57" spans="1:15" ht="15.75" thickTop="1">
      <c r="A57" s="25">
        <v>2004</v>
      </c>
      <c r="B57" s="28" t="s">
        <v>2</v>
      </c>
      <c r="C57" s="72">
        <v>182273</v>
      </c>
      <c r="D57" s="73">
        <v>-29017.86</v>
      </c>
      <c r="E57" s="72">
        <v>5232074</v>
      </c>
      <c r="F57" s="74">
        <v>-516405.7</v>
      </c>
      <c r="G57" s="75">
        <v>317935.25</v>
      </c>
      <c r="H57" s="76">
        <v>914479.28</v>
      </c>
      <c r="I57" s="74">
        <f t="shared" ref="I57:I68" si="8">SUM(G57:H57)</f>
        <v>1232414.53</v>
      </c>
    </row>
    <row r="58" spans="1:15">
      <c r="A58" s="25">
        <v>2004</v>
      </c>
      <c r="B58" s="28" t="s">
        <v>3</v>
      </c>
      <c r="C58" s="72">
        <v>174253</v>
      </c>
      <c r="D58" s="73">
        <v>-13731.14</v>
      </c>
      <c r="E58" s="72">
        <v>5124879</v>
      </c>
      <c r="F58" s="74">
        <v>-505825.56</v>
      </c>
      <c r="G58" s="75">
        <v>283286.74</v>
      </c>
      <c r="H58" s="76">
        <v>883130.44</v>
      </c>
      <c r="I58" s="74">
        <f t="shared" si="8"/>
        <v>1166417.18</v>
      </c>
    </row>
    <row r="59" spans="1:15">
      <c r="A59" s="25">
        <v>2004</v>
      </c>
      <c r="B59" s="28" t="s">
        <v>4</v>
      </c>
      <c r="C59" s="72">
        <v>223283</v>
      </c>
      <c r="D59" s="73">
        <v>-6430.55</v>
      </c>
      <c r="E59" s="72">
        <v>5736272</v>
      </c>
      <c r="F59" s="74">
        <v>-566170.03</v>
      </c>
      <c r="G59" s="75">
        <v>319179.78999999998</v>
      </c>
      <c r="H59" s="76">
        <v>1173941.68</v>
      </c>
      <c r="I59" s="74">
        <f t="shared" si="8"/>
        <v>1493121.47</v>
      </c>
    </row>
    <row r="60" spans="1:15">
      <c r="A60" s="25">
        <v>2004</v>
      </c>
      <c r="B60" s="28" t="s">
        <v>5</v>
      </c>
      <c r="C60" s="72">
        <v>178486</v>
      </c>
      <c r="D60" s="73">
        <v>-5872.2</v>
      </c>
      <c r="E60" s="72">
        <v>5576631</v>
      </c>
      <c r="F60" s="74">
        <v>-550413.47</v>
      </c>
      <c r="G60" s="75">
        <v>307969.18</v>
      </c>
      <c r="H60" s="76">
        <v>1179623.6299999999</v>
      </c>
      <c r="I60" s="74">
        <f t="shared" si="8"/>
        <v>1487592.8099999998</v>
      </c>
    </row>
    <row r="61" spans="1:15">
      <c r="A61" s="25">
        <v>2004</v>
      </c>
      <c r="B61" s="28" t="s">
        <v>6</v>
      </c>
      <c r="C61" s="72">
        <v>190958</v>
      </c>
      <c r="D61" s="73">
        <v>-37905.17</v>
      </c>
      <c r="E61" s="72">
        <v>5739645</v>
      </c>
      <c r="F61" s="74">
        <v>-566502.93000000005</v>
      </c>
      <c r="G61" s="75">
        <v>297989.86</v>
      </c>
      <c r="H61" s="76">
        <v>1052326.94</v>
      </c>
      <c r="I61" s="74">
        <f t="shared" si="8"/>
        <v>1350316.7999999998</v>
      </c>
    </row>
    <row r="62" spans="1:15">
      <c r="A62" s="25">
        <v>2004</v>
      </c>
      <c r="B62" s="28" t="s">
        <v>7</v>
      </c>
      <c r="C62" s="72">
        <v>172416</v>
      </c>
      <c r="D62" s="73">
        <v>-34224.6</v>
      </c>
      <c r="E62" s="72">
        <v>5529463</v>
      </c>
      <c r="F62" s="74">
        <v>-545758</v>
      </c>
      <c r="G62" s="75">
        <v>282731.14</v>
      </c>
      <c r="H62" s="76">
        <v>1113925.05</v>
      </c>
      <c r="I62" s="74">
        <f t="shared" si="8"/>
        <v>1396656.19</v>
      </c>
    </row>
    <row r="63" spans="1:15">
      <c r="A63" s="25">
        <v>2004</v>
      </c>
      <c r="B63" s="28" t="s">
        <v>8</v>
      </c>
      <c r="C63" s="72">
        <v>190209</v>
      </c>
      <c r="D63" s="73">
        <v>-37756.480000000003</v>
      </c>
      <c r="E63" s="72">
        <v>5575897</v>
      </c>
      <c r="F63" s="74">
        <v>-550341.02</v>
      </c>
      <c r="G63" s="75">
        <v>291723.69</v>
      </c>
      <c r="H63" s="76">
        <v>1061112.1499999999</v>
      </c>
      <c r="I63" s="74">
        <f t="shared" si="8"/>
        <v>1352835.8399999999</v>
      </c>
    </row>
    <row r="64" spans="1:15">
      <c r="A64" s="25">
        <v>2004</v>
      </c>
      <c r="B64" s="28" t="s">
        <v>9</v>
      </c>
      <c r="C64" s="72">
        <v>174975</v>
      </c>
      <c r="D64" s="73">
        <v>-2694.63</v>
      </c>
      <c r="E64" s="72">
        <v>5847609</v>
      </c>
      <c r="F64" s="74">
        <v>-577159</v>
      </c>
      <c r="G64" s="75">
        <v>312703.78999999998</v>
      </c>
      <c r="H64" s="76">
        <v>1094052.06</v>
      </c>
      <c r="I64" s="74">
        <f t="shared" si="8"/>
        <v>1406755.85</v>
      </c>
    </row>
    <row r="65" spans="1:15">
      <c r="A65" s="25">
        <v>2004</v>
      </c>
      <c r="B65" s="28" t="s">
        <v>10</v>
      </c>
      <c r="C65" s="72">
        <v>202482</v>
      </c>
      <c r="D65" s="73">
        <v>-29562.39</v>
      </c>
      <c r="E65" s="72">
        <v>5696724</v>
      </c>
      <c r="F65" s="74">
        <v>-562266.68000000005</v>
      </c>
      <c r="G65" s="75">
        <v>301717.83</v>
      </c>
      <c r="H65" s="76">
        <v>1083096.94</v>
      </c>
      <c r="I65" s="74">
        <f t="shared" si="8"/>
        <v>1384814.77</v>
      </c>
    </row>
    <row r="66" spans="1:15">
      <c r="A66" s="25">
        <v>2004</v>
      </c>
      <c r="B66" s="28" t="s">
        <v>11</v>
      </c>
      <c r="C66" s="72">
        <v>203909</v>
      </c>
      <c r="D66" s="73">
        <v>-27996.71</v>
      </c>
      <c r="E66" s="72">
        <v>5505168</v>
      </c>
      <c r="F66" s="74">
        <v>-543360.09</v>
      </c>
      <c r="G66" s="75">
        <v>356542.52</v>
      </c>
      <c r="H66" s="76">
        <v>1225480.31</v>
      </c>
      <c r="I66" s="74">
        <f t="shared" si="8"/>
        <v>1582022.83</v>
      </c>
    </row>
    <row r="67" spans="1:15">
      <c r="A67" s="25">
        <v>2004</v>
      </c>
      <c r="B67" s="28" t="s">
        <v>12</v>
      </c>
      <c r="C67" s="72">
        <v>195827</v>
      </c>
      <c r="D67" s="73">
        <v>-17839.84</v>
      </c>
      <c r="E67" s="72">
        <v>4939865</v>
      </c>
      <c r="F67" s="74">
        <v>-487564.69</v>
      </c>
      <c r="G67" s="75">
        <v>381352.19</v>
      </c>
      <c r="H67" s="76">
        <v>1366149.43</v>
      </c>
      <c r="I67" s="74">
        <f t="shared" si="8"/>
        <v>1747501.6199999999</v>
      </c>
    </row>
    <row r="68" spans="1:15" s="3" customFormat="1" ht="15.75" thickBot="1">
      <c r="A68" s="25">
        <v>2004</v>
      </c>
      <c r="B68" s="28" t="s">
        <v>13</v>
      </c>
      <c r="C68" s="72">
        <v>192639</v>
      </c>
      <c r="D68" s="73">
        <v>-25062.33</v>
      </c>
      <c r="E68" s="72">
        <v>4895306</v>
      </c>
      <c r="F68" s="74">
        <v>-483166.69</v>
      </c>
      <c r="G68" s="75">
        <v>392154.57</v>
      </c>
      <c r="H68" s="76">
        <v>1333511.44</v>
      </c>
      <c r="I68" s="74">
        <f t="shared" si="8"/>
        <v>1725666.01</v>
      </c>
      <c r="J68" s="5"/>
      <c r="K68" s="5"/>
      <c r="L68" s="5"/>
      <c r="M68" s="5"/>
      <c r="N68" s="5"/>
      <c r="O68" s="5"/>
    </row>
    <row r="69" spans="1:15" ht="16.5" thickTop="1" thickBot="1">
      <c r="A69" s="33">
        <v>2004</v>
      </c>
      <c r="B69" s="34" t="s">
        <v>14</v>
      </c>
      <c r="C69" s="77">
        <f t="shared" ref="C69:I69" si="9">SUM(C57:C68)</f>
        <v>2281710</v>
      </c>
      <c r="D69" s="78">
        <f t="shared" si="9"/>
        <v>-268093.90000000002</v>
      </c>
      <c r="E69" s="77">
        <f t="shared" si="9"/>
        <v>65399533</v>
      </c>
      <c r="F69" s="79">
        <f t="shared" si="9"/>
        <v>-6454933.8600000003</v>
      </c>
      <c r="G69" s="80">
        <f t="shared" si="9"/>
        <v>3845286.55</v>
      </c>
      <c r="H69" s="81">
        <f t="shared" si="9"/>
        <v>13480829.35</v>
      </c>
      <c r="I69" s="79">
        <f t="shared" si="9"/>
        <v>17326115.899999999</v>
      </c>
      <c r="J69" s="3"/>
      <c r="K69" s="3"/>
      <c r="L69" s="3"/>
      <c r="M69" s="3"/>
      <c r="N69" s="3"/>
      <c r="O69" s="3"/>
    </row>
    <row r="70" spans="1:15" ht="15.75" thickTop="1">
      <c r="A70" s="25">
        <v>2005</v>
      </c>
      <c r="B70" s="28" t="s">
        <v>2</v>
      </c>
      <c r="C70" s="72">
        <v>186550</v>
      </c>
      <c r="D70" s="73">
        <v>-37030.199999999997</v>
      </c>
      <c r="E70" s="72">
        <v>5207553</v>
      </c>
      <c r="F70" s="74">
        <v>-513985.5</v>
      </c>
      <c r="G70" s="75">
        <v>396417.22</v>
      </c>
      <c r="H70" s="76">
        <v>1356440.64</v>
      </c>
      <c r="I70" s="74">
        <f t="shared" ref="I70:I81" si="10">SUM(G70:H70)</f>
        <v>1752857.8599999999</v>
      </c>
    </row>
    <row r="71" spans="1:15">
      <c r="A71" s="25">
        <v>2005</v>
      </c>
      <c r="B71" s="28" t="s">
        <v>3</v>
      </c>
      <c r="C71" s="72">
        <v>186072</v>
      </c>
      <c r="D71" s="73">
        <v>-14215.89</v>
      </c>
      <c r="E71" s="72">
        <v>4891169</v>
      </c>
      <c r="F71" s="74">
        <v>-482758.38</v>
      </c>
      <c r="G71" s="75">
        <v>359520.42</v>
      </c>
      <c r="H71" s="76">
        <v>1259327.5900000001</v>
      </c>
      <c r="I71" s="74">
        <f t="shared" si="10"/>
        <v>1618848.01</v>
      </c>
    </row>
    <row r="72" spans="1:15">
      <c r="A72" s="25">
        <v>2005</v>
      </c>
      <c r="B72" s="28" t="s">
        <v>4</v>
      </c>
      <c r="C72" s="72">
        <v>200283</v>
      </c>
      <c r="D72" s="73">
        <v>-26317.18</v>
      </c>
      <c r="E72" s="72">
        <v>5511877</v>
      </c>
      <c r="F72" s="74">
        <v>-544022.24</v>
      </c>
      <c r="G72" s="75">
        <v>389516.61</v>
      </c>
      <c r="H72" s="76">
        <v>1442605.28</v>
      </c>
      <c r="I72" s="74">
        <f t="shared" si="10"/>
        <v>1832121.8900000001</v>
      </c>
    </row>
    <row r="73" spans="1:15">
      <c r="A73" s="25">
        <v>2005</v>
      </c>
      <c r="B73" s="28" t="s">
        <v>5</v>
      </c>
      <c r="C73" s="72">
        <v>205434</v>
      </c>
      <c r="D73" s="73">
        <v>-24898.6</v>
      </c>
      <c r="E73" s="72">
        <v>5097353</v>
      </c>
      <c r="F73" s="74">
        <v>-503108.73</v>
      </c>
      <c r="G73" s="75">
        <v>372785.42</v>
      </c>
      <c r="H73" s="76">
        <v>1292123.3400000001</v>
      </c>
      <c r="I73" s="74">
        <f t="shared" si="10"/>
        <v>1664908.76</v>
      </c>
    </row>
    <row r="74" spans="1:15">
      <c r="A74" s="25">
        <v>2005</v>
      </c>
      <c r="B74" s="28" t="s">
        <v>6</v>
      </c>
      <c r="C74" s="72">
        <v>242473</v>
      </c>
      <c r="D74" s="73">
        <v>-38625.949999999997</v>
      </c>
      <c r="E74" s="72">
        <v>5637446</v>
      </c>
      <c r="F74" s="74">
        <v>-556415.92000000004</v>
      </c>
      <c r="G74" s="75">
        <v>382295.54</v>
      </c>
      <c r="H74" s="76">
        <v>1391109.51</v>
      </c>
      <c r="I74" s="74">
        <f t="shared" si="10"/>
        <v>1773405.05</v>
      </c>
    </row>
    <row r="75" spans="1:15">
      <c r="A75" s="25">
        <v>2005</v>
      </c>
      <c r="B75" s="28" t="s">
        <v>7</v>
      </c>
      <c r="C75" s="72">
        <v>209137</v>
      </c>
      <c r="D75" s="73">
        <v>-18404.04</v>
      </c>
      <c r="E75" s="72">
        <v>5304974</v>
      </c>
      <c r="F75" s="74">
        <v>-523600.96</v>
      </c>
      <c r="G75" s="75">
        <v>358739.53</v>
      </c>
      <c r="H75" s="76">
        <v>1362886</v>
      </c>
      <c r="I75" s="74">
        <f t="shared" si="10"/>
        <v>1721625.53</v>
      </c>
    </row>
    <row r="76" spans="1:15">
      <c r="A76" s="25">
        <v>2005</v>
      </c>
      <c r="B76" s="28" t="s">
        <v>8</v>
      </c>
      <c r="C76" s="72">
        <v>204680</v>
      </c>
      <c r="D76" s="73">
        <v>-16681.419999999998</v>
      </c>
      <c r="E76" s="72">
        <v>5438301</v>
      </c>
      <c r="F76" s="74">
        <v>-536760.32999999996</v>
      </c>
      <c r="G76" s="75">
        <v>358316.3</v>
      </c>
      <c r="H76" s="76">
        <v>1387728.7</v>
      </c>
      <c r="I76" s="74">
        <f t="shared" si="10"/>
        <v>1746045</v>
      </c>
    </row>
    <row r="77" spans="1:15">
      <c r="A77" s="25">
        <v>2005</v>
      </c>
      <c r="B77" s="28" t="s">
        <v>9</v>
      </c>
      <c r="C77" s="72">
        <v>206953</v>
      </c>
      <c r="D77" s="73">
        <v>-8319.52</v>
      </c>
      <c r="E77" s="72">
        <v>5787471</v>
      </c>
      <c r="F77" s="74">
        <v>-571223.38</v>
      </c>
      <c r="G77" s="75">
        <v>381985.38</v>
      </c>
      <c r="H77" s="76">
        <v>1433650.37</v>
      </c>
      <c r="I77" s="74">
        <f t="shared" si="10"/>
        <v>1815635.75</v>
      </c>
    </row>
    <row r="78" spans="1:15">
      <c r="A78" s="25">
        <v>2005</v>
      </c>
      <c r="B78" s="28" t="s">
        <v>10</v>
      </c>
      <c r="C78" s="72">
        <v>226773</v>
      </c>
      <c r="D78" s="73">
        <v>0</v>
      </c>
      <c r="E78" s="72">
        <v>5744974</v>
      </c>
      <c r="F78" s="74">
        <v>-567028.91</v>
      </c>
      <c r="G78" s="75">
        <v>378646.22</v>
      </c>
      <c r="H78" s="76">
        <v>1416864.63</v>
      </c>
      <c r="I78" s="74">
        <f t="shared" si="10"/>
        <v>1795510.8499999999</v>
      </c>
    </row>
    <row r="79" spans="1:15">
      <c r="A79" s="25">
        <v>2005</v>
      </c>
      <c r="B79" s="28" t="s">
        <v>11</v>
      </c>
      <c r="C79" s="72">
        <v>214275</v>
      </c>
      <c r="D79" s="73">
        <v>0</v>
      </c>
      <c r="E79" s="72">
        <v>5454923</v>
      </c>
      <c r="F79" s="74">
        <v>-538400.9</v>
      </c>
      <c r="G79" s="75">
        <v>392832.25</v>
      </c>
      <c r="H79" s="76">
        <v>1524817.34</v>
      </c>
      <c r="I79" s="74">
        <f t="shared" si="10"/>
        <v>1917649.59</v>
      </c>
    </row>
    <row r="80" spans="1:15">
      <c r="A80" s="25">
        <v>2005</v>
      </c>
      <c r="B80" s="28" t="s">
        <v>12</v>
      </c>
      <c r="C80" s="72">
        <v>214232</v>
      </c>
      <c r="D80" s="73">
        <v>0</v>
      </c>
      <c r="E80" s="72">
        <v>4937490</v>
      </c>
      <c r="F80" s="74">
        <v>-487330.24</v>
      </c>
      <c r="G80" s="75">
        <v>383497.41</v>
      </c>
      <c r="H80" s="76">
        <v>1485749.62</v>
      </c>
      <c r="I80" s="74">
        <f t="shared" si="10"/>
        <v>1869247.03</v>
      </c>
    </row>
    <row r="81" spans="1:15" s="3" customFormat="1" ht="15.75" thickBot="1">
      <c r="A81" s="26">
        <v>2005</v>
      </c>
      <c r="B81" s="29" t="s">
        <v>13</v>
      </c>
      <c r="C81" s="82">
        <v>206780</v>
      </c>
      <c r="D81" s="83">
        <v>0</v>
      </c>
      <c r="E81" s="82">
        <v>4737906</v>
      </c>
      <c r="F81" s="84">
        <v>-467631.33</v>
      </c>
      <c r="G81" s="85">
        <v>372697.76</v>
      </c>
      <c r="H81" s="86">
        <v>1506088.89</v>
      </c>
      <c r="I81" s="84">
        <f t="shared" si="10"/>
        <v>1878786.65</v>
      </c>
      <c r="J81" s="5"/>
      <c r="K81" s="5"/>
      <c r="L81" s="5"/>
      <c r="M81" s="5"/>
      <c r="N81" s="5"/>
      <c r="O81" s="5"/>
    </row>
    <row r="82" spans="1:15" ht="16.5" thickTop="1" thickBot="1">
      <c r="A82" s="31">
        <v>2005</v>
      </c>
      <c r="B82" s="32" t="s">
        <v>14</v>
      </c>
      <c r="C82" s="87">
        <f t="shared" ref="C82:I82" si="11">SUM(C70:C81)</f>
        <v>2503642</v>
      </c>
      <c r="D82" s="88">
        <f t="shared" si="11"/>
        <v>-184492.80000000002</v>
      </c>
      <c r="E82" s="87">
        <f t="shared" si="11"/>
        <v>63751437</v>
      </c>
      <c r="F82" s="89">
        <f t="shared" si="11"/>
        <v>-6292266.8200000012</v>
      </c>
      <c r="G82" s="90">
        <f t="shared" si="11"/>
        <v>4527250.0599999996</v>
      </c>
      <c r="H82" s="91">
        <f t="shared" si="11"/>
        <v>16859391.91</v>
      </c>
      <c r="I82" s="89">
        <f t="shared" si="11"/>
        <v>21386641.969999999</v>
      </c>
      <c r="J82" s="3"/>
      <c r="K82" s="3"/>
      <c r="L82" s="3"/>
      <c r="M82" s="3"/>
      <c r="N82" s="3"/>
      <c r="O82" s="3"/>
    </row>
    <row r="83" spans="1:15" ht="15.75" thickTop="1">
      <c r="A83" s="25">
        <v>2006</v>
      </c>
      <c r="B83" s="28" t="s">
        <v>2</v>
      </c>
      <c r="C83" s="72">
        <v>241908</v>
      </c>
      <c r="D83" s="73">
        <v>-8297.4500000000007</v>
      </c>
      <c r="E83" s="72">
        <v>5320455</v>
      </c>
      <c r="F83" s="74">
        <v>-525128.9</v>
      </c>
      <c r="G83" s="75">
        <v>391277.46</v>
      </c>
      <c r="H83" s="76">
        <v>1643918.75</v>
      </c>
      <c r="I83" s="74">
        <f t="shared" ref="I83:I94" si="12">SUM(G83:H83)</f>
        <v>2035196.21</v>
      </c>
    </row>
    <row r="84" spans="1:15">
      <c r="A84" s="25">
        <v>2006</v>
      </c>
      <c r="B84" s="28" t="s">
        <v>3</v>
      </c>
      <c r="C84" s="72">
        <v>218524</v>
      </c>
      <c r="D84" s="73">
        <v>-20825.34</v>
      </c>
      <c r="E84" s="72">
        <v>4807875</v>
      </c>
      <c r="F84" s="74">
        <v>-474537.26</v>
      </c>
      <c r="G84" s="75">
        <v>334216.18</v>
      </c>
      <c r="H84" s="76">
        <v>1510804.37</v>
      </c>
      <c r="I84" s="74">
        <f t="shared" si="12"/>
        <v>1845020.55</v>
      </c>
    </row>
    <row r="85" spans="1:15">
      <c r="A85" s="25">
        <v>2006</v>
      </c>
      <c r="B85" s="28" t="s">
        <v>4</v>
      </c>
      <c r="C85" s="72">
        <v>252414</v>
      </c>
      <c r="D85" s="73">
        <v>-14942.93</v>
      </c>
      <c r="E85" s="72">
        <v>5526014</v>
      </c>
      <c r="F85" s="74">
        <v>-545417.6</v>
      </c>
      <c r="G85" s="75">
        <v>379480.84</v>
      </c>
      <c r="H85" s="76">
        <v>1644167.02</v>
      </c>
      <c r="I85" s="74">
        <f t="shared" si="12"/>
        <v>2023647.86</v>
      </c>
    </row>
    <row r="86" spans="1:15">
      <c r="A86" s="25">
        <v>2006</v>
      </c>
      <c r="B86" s="28" t="s">
        <v>5</v>
      </c>
      <c r="C86" s="72">
        <v>221667</v>
      </c>
      <c r="D86" s="73">
        <v>-8246</v>
      </c>
      <c r="E86" s="72">
        <v>7830493</v>
      </c>
      <c r="F86" s="74">
        <v>-476769.65</v>
      </c>
      <c r="G86" s="75">
        <v>367165.65</v>
      </c>
      <c r="H86" s="76">
        <v>1673831.51</v>
      </c>
      <c r="I86" s="74">
        <f t="shared" si="12"/>
        <v>2040997.1600000001</v>
      </c>
    </row>
    <row r="87" spans="1:15">
      <c r="A87" s="25">
        <v>2006</v>
      </c>
      <c r="B87" s="28" t="s">
        <v>6</v>
      </c>
      <c r="C87" s="72">
        <v>287523</v>
      </c>
      <c r="D87" s="73">
        <v>-13197.29</v>
      </c>
      <c r="E87" s="72">
        <v>5805128</v>
      </c>
      <c r="F87" s="74">
        <v>-572966.14</v>
      </c>
      <c r="G87" s="75">
        <v>384034.72</v>
      </c>
      <c r="H87" s="76">
        <v>1671923.71</v>
      </c>
      <c r="I87" s="74">
        <f t="shared" si="12"/>
        <v>2055958.43</v>
      </c>
    </row>
    <row r="88" spans="1:15">
      <c r="A88" s="25">
        <v>2006</v>
      </c>
      <c r="B88" s="28" t="s">
        <v>7</v>
      </c>
      <c r="C88" s="72">
        <v>273073</v>
      </c>
      <c r="D88" s="73">
        <v>-13652.15</v>
      </c>
      <c r="E88" s="72">
        <v>5479716</v>
      </c>
      <c r="F88" s="74">
        <v>-540847.96</v>
      </c>
      <c r="G88" s="75">
        <v>349805.8</v>
      </c>
      <c r="H88" s="76">
        <v>1675575.14</v>
      </c>
      <c r="I88" s="74">
        <f t="shared" si="12"/>
        <v>2025380.94</v>
      </c>
    </row>
    <row r="89" spans="1:15">
      <c r="A89" s="25">
        <v>2006</v>
      </c>
      <c r="B89" s="28" t="s">
        <v>8</v>
      </c>
      <c r="C89" s="72">
        <v>258693</v>
      </c>
      <c r="D89" s="73">
        <v>-11822.29</v>
      </c>
      <c r="E89" s="72">
        <v>5750996</v>
      </c>
      <c r="F89" s="74">
        <v>-567623.30000000005</v>
      </c>
      <c r="G89" s="75">
        <v>349589.56</v>
      </c>
      <c r="H89" s="76">
        <v>1756277.24</v>
      </c>
      <c r="I89" s="74">
        <f t="shared" si="12"/>
        <v>2105866.7999999998</v>
      </c>
    </row>
    <row r="90" spans="1:15">
      <c r="A90" s="25">
        <v>2006</v>
      </c>
      <c r="B90" s="28" t="s">
        <v>9</v>
      </c>
      <c r="C90" s="72">
        <v>273569</v>
      </c>
      <c r="D90" s="73">
        <v>-1723.46</v>
      </c>
      <c r="E90" s="72">
        <v>5860380</v>
      </c>
      <c r="F90" s="74">
        <v>-578419.48</v>
      </c>
      <c r="G90" s="75">
        <v>381579.62</v>
      </c>
      <c r="H90" s="76">
        <v>1781862.55</v>
      </c>
      <c r="I90" s="74">
        <f t="shared" si="12"/>
        <v>2163442.17</v>
      </c>
    </row>
    <row r="91" spans="1:15">
      <c r="A91" s="25">
        <v>2006</v>
      </c>
      <c r="B91" s="28" t="s">
        <v>10</v>
      </c>
      <c r="C91" s="72">
        <v>275012</v>
      </c>
      <c r="D91" s="73">
        <v>-4317.68</v>
      </c>
      <c r="E91" s="72">
        <v>5497125</v>
      </c>
      <c r="F91" s="74">
        <v>-542566.23</v>
      </c>
      <c r="G91" s="75">
        <v>377801.05</v>
      </c>
      <c r="H91" s="76">
        <v>1905010.13</v>
      </c>
      <c r="I91" s="74">
        <f t="shared" si="12"/>
        <v>2282811.1799999997</v>
      </c>
    </row>
    <row r="92" spans="1:15">
      <c r="A92" s="25">
        <v>2006</v>
      </c>
      <c r="B92" s="28" t="s">
        <v>11</v>
      </c>
      <c r="C92" s="72">
        <v>288222</v>
      </c>
      <c r="D92" s="73">
        <v>-9857.2000000000007</v>
      </c>
      <c r="E92" s="72">
        <v>5347413</v>
      </c>
      <c r="F92" s="74">
        <v>-527789.67000000004</v>
      </c>
      <c r="G92" s="75">
        <v>411588.57</v>
      </c>
      <c r="H92" s="76">
        <v>2012984.2</v>
      </c>
      <c r="I92" s="74">
        <f t="shared" si="12"/>
        <v>2424572.77</v>
      </c>
    </row>
    <row r="93" spans="1:15">
      <c r="A93" s="25">
        <v>2006</v>
      </c>
      <c r="B93" s="28" t="s">
        <v>12</v>
      </c>
      <c r="C93" s="72">
        <v>239379</v>
      </c>
      <c r="D93" s="73">
        <v>0</v>
      </c>
      <c r="E93" s="72">
        <v>5085480</v>
      </c>
      <c r="F93" s="74">
        <v>-501936.87</v>
      </c>
      <c r="G93" s="75">
        <v>388799.86</v>
      </c>
      <c r="H93" s="76">
        <v>1995172.17</v>
      </c>
      <c r="I93" s="74">
        <f t="shared" si="12"/>
        <v>2383972.0299999998</v>
      </c>
    </row>
    <row r="94" spans="1:15" s="3" customFormat="1" ht="15.75" thickBot="1">
      <c r="A94" s="25">
        <v>2006</v>
      </c>
      <c r="B94" s="28" t="s">
        <v>13</v>
      </c>
      <c r="C94" s="72">
        <v>252748</v>
      </c>
      <c r="D94" s="73">
        <v>0</v>
      </c>
      <c r="E94" s="72">
        <v>4834220</v>
      </c>
      <c r="F94" s="74">
        <v>-477137.5</v>
      </c>
      <c r="G94" s="75">
        <v>383462.71</v>
      </c>
      <c r="H94" s="76">
        <v>2072444.18</v>
      </c>
      <c r="I94" s="74">
        <f t="shared" si="12"/>
        <v>2455906.89</v>
      </c>
      <c r="J94" s="5"/>
      <c r="K94" s="5"/>
      <c r="L94" s="5"/>
      <c r="M94" s="5"/>
      <c r="N94" s="5"/>
      <c r="O94" s="5"/>
    </row>
    <row r="95" spans="1:15" ht="16.5" thickTop="1" thickBot="1">
      <c r="A95" s="33">
        <v>2006</v>
      </c>
      <c r="B95" s="34" t="s">
        <v>14</v>
      </c>
      <c r="C95" s="77">
        <f t="shared" ref="C95:I95" si="13">SUM(C83:C94)</f>
        <v>3082732</v>
      </c>
      <c r="D95" s="78">
        <f t="shared" si="13"/>
        <v>-106881.79000000002</v>
      </c>
      <c r="E95" s="77">
        <f t="shared" si="13"/>
        <v>67145295</v>
      </c>
      <c r="F95" s="79">
        <f t="shared" si="13"/>
        <v>-6331140.5600000015</v>
      </c>
      <c r="G95" s="80">
        <f t="shared" si="13"/>
        <v>4498802.0199999996</v>
      </c>
      <c r="H95" s="81">
        <f t="shared" si="13"/>
        <v>21343970.969999999</v>
      </c>
      <c r="I95" s="79">
        <f t="shared" si="13"/>
        <v>25842772.989999998</v>
      </c>
      <c r="J95" s="3"/>
      <c r="K95" s="3"/>
      <c r="L95" s="3"/>
      <c r="M95" s="3"/>
      <c r="N95" s="3"/>
      <c r="O95" s="3"/>
    </row>
    <row r="96" spans="1:15" ht="15.75" thickTop="1">
      <c r="A96" s="25">
        <v>2007</v>
      </c>
      <c r="B96" s="28" t="s">
        <v>2</v>
      </c>
      <c r="C96" s="72">
        <v>251463</v>
      </c>
      <c r="D96" s="73">
        <v>0</v>
      </c>
      <c r="E96" s="72">
        <v>5216728</v>
      </c>
      <c r="F96" s="74">
        <v>-514891.06</v>
      </c>
      <c r="G96" s="75">
        <v>402527.76</v>
      </c>
      <c r="H96" s="76">
        <v>2163532.92</v>
      </c>
      <c r="I96" s="74">
        <f t="shared" ref="I96:I107" si="14">SUM(G96:H96)</f>
        <v>2566060.6799999997</v>
      </c>
    </row>
    <row r="97" spans="1:15">
      <c r="A97" s="25">
        <v>2006</v>
      </c>
      <c r="B97" s="28" t="s">
        <v>3</v>
      </c>
      <c r="C97" s="72">
        <v>214678</v>
      </c>
      <c r="D97" s="73">
        <v>-7492.27</v>
      </c>
      <c r="E97" s="72">
        <v>4758705</v>
      </c>
      <c r="F97" s="74">
        <v>-469684.19</v>
      </c>
      <c r="G97" s="75">
        <v>347831.85</v>
      </c>
      <c r="H97" s="76">
        <v>1918904.42</v>
      </c>
      <c r="I97" s="74">
        <f t="shared" si="14"/>
        <v>2266736.27</v>
      </c>
    </row>
    <row r="98" spans="1:15">
      <c r="A98" s="25">
        <v>2007</v>
      </c>
      <c r="B98" s="28" t="s">
        <v>4</v>
      </c>
      <c r="C98" s="72">
        <v>236367</v>
      </c>
      <c r="D98" s="73">
        <v>-3238.22</v>
      </c>
      <c r="E98" s="72">
        <v>5322606</v>
      </c>
      <c r="F98" s="74">
        <v>-525341.22</v>
      </c>
      <c r="G98" s="75">
        <v>397207.03</v>
      </c>
      <c r="H98" s="76">
        <v>2226637.94</v>
      </c>
      <c r="I98" s="74">
        <f t="shared" si="14"/>
        <v>2623844.9699999997</v>
      </c>
    </row>
    <row r="99" spans="1:15">
      <c r="A99" s="25">
        <v>2007</v>
      </c>
      <c r="B99" s="28" t="s">
        <v>5</v>
      </c>
      <c r="C99" s="72">
        <v>151376</v>
      </c>
      <c r="D99" s="73">
        <v>0</v>
      </c>
      <c r="E99" s="72">
        <v>5450641</v>
      </c>
      <c r="F99" s="74">
        <v>-537978.26</v>
      </c>
      <c r="G99" s="75">
        <v>387406.23</v>
      </c>
      <c r="H99" s="76">
        <v>2176322.4</v>
      </c>
      <c r="I99" s="74">
        <f t="shared" si="14"/>
        <v>2563728.63</v>
      </c>
    </row>
    <row r="100" spans="1:15">
      <c r="A100" s="25">
        <v>2007</v>
      </c>
      <c r="B100" s="28" t="s">
        <v>6</v>
      </c>
      <c r="C100" s="72">
        <v>152303</v>
      </c>
      <c r="D100" s="73">
        <v>0</v>
      </c>
      <c r="E100" s="72">
        <v>5995198</v>
      </c>
      <c r="F100" s="74">
        <v>-591726.04</v>
      </c>
      <c r="G100" s="75">
        <v>398700.66</v>
      </c>
      <c r="H100" s="76">
        <v>2198280.0099999998</v>
      </c>
      <c r="I100" s="74">
        <f t="shared" si="14"/>
        <v>2596980.67</v>
      </c>
    </row>
    <row r="101" spans="1:15">
      <c r="A101" s="25">
        <v>2007</v>
      </c>
      <c r="B101" s="28" t="s">
        <v>7</v>
      </c>
      <c r="C101" s="72">
        <v>141828</v>
      </c>
      <c r="D101" s="73">
        <v>0</v>
      </c>
      <c r="E101" s="72">
        <v>5205545</v>
      </c>
      <c r="F101" s="74">
        <v>-513787.29</v>
      </c>
      <c r="G101" s="75">
        <v>361997.15</v>
      </c>
      <c r="H101" s="76">
        <v>2142806.56</v>
      </c>
      <c r="I101" s="74">
        <f t="shared" si="14"/>
        <v>2504803.71</v>
      </c>
    </row>
    <row r="102" spans="1:15">
      <c r="A102" s="25">
        <v>2007</v>
      </c>
      <c r="B102" s="28" t="s">
        <v>8</v>
      </c>
      <c r="C102" s="72">
        <v>157616</v>
      </c>
      <c r="D102" s="73">
        <v>0</v>
      </c>
      <c r="E102" s="72">
        <v>5574157</v>
      </c>
      <c r="F102" s="74">
        <v>-550169.29</v>
      </c>
      <c r="G102" s="75">
        <v>372071.31</v>
      </c>
      <c r="H102" s="76">
        <v>2254024.4500000002</v>
      </c>
      <c r="I102" s="74">
        <f t="shared" si="14"/>
        <v>2626095.7600000002</v>
      </c>
    </row>
    <row r="103" spans="1:15">
      <c r="A103" s="25">
        <v>2007</v>
      </c>
      <c r="B103" s="28" t="s">
        <v>9</v>
      </c>
      <c r="C103" s="72">
        <v>190232</v>
      </c>
      <c r="D103" s="73">
        <v>0</v>
      </c>
      <c r="E103" s="72">
        <v>5927058</v>
      </c>
      <c r="F103" s="74">
        <v>-585000.63</v>
      </c>
      <c r="G103" s="75">
        <v>404117.24</v>
      </c>
      <c r="H103" s="76">
        <v>2270357.4</v>
      </c>
      <c r="I103" s="74">
        <f t="shared" si="14"/>
        <v>2674474.6399999997</v>
      </c>
    </row>
    <row r="104" spans="1:15">
      <c r="A104" s="25">
        <v>2007</v>
      </c>
      <c r="B104" s="28" t="s">
        <v>10</v>
      </c>
      <c r="C104" s="72">
        <v>195668</v>
      </c>
      <c r="D104" s="73">
        <v>0</v>
      </c>
      <c r="E104" s="72">
        <v>5608284</v>
      </c>
      <c r="F104" s="74">
        <v>-552646.56999999995</v>
      </c>
      <c r="G104" s="75">
        <v>392259.71</v>
      </c>
      <c r="H104" s="76">
        <v>2093330.69</v>
      </c>
      <c r="I104" s="74">
        <f t="shared" si="14"/>
        <v>2485590.4</v>
      </c>
    </row>
    <row r="105" spans="1:15">
      <c r="A105" s="25">
        <v>2007</v>
      </c>
      <c r="B105" s="28" t="s">
        <v>11</v>
      </c>
      <c r="C105" s="72">
        <v>200763</v>
      </c>
      <c r="D105" s="73">
        <v>0</v>
      </c>
      <c r="E105" s="72">
        <v>5872783</v>
      </c>
      <c r="F105" s="74">
        <v>-579643.68999999994</v>
      </c>
      <c r="G105" s="75">
        <v>418873.34</v>
      </c>
      <c r="H105" s="76">
        <v>2232487.12</v>
      </c>
      <c r="I105" s="74">
        <f t="shared" si="14"/>
        <v>2651360.46</v>
      </c>
    </row>
    <row r="106" spans="1:15">
      <c r="A106" s="25">
        <v>2007</v>
      </c>
      <c r="B106" s="28" t="s">
        <v>12</v>
      </c>
      <c r="C106" s="72">
        <v>210115</v>
      </c>
      <c r="D106" s="73">
        <v>0</v>
      </c>
      <c r="E106" s="72">
        <v>5237548</v>
      </c>
      <c r="F106" s="74">
        <v>-516945.97</v>
      </c>
      <c r="G106" s="75">
        <v>390495.27</v>
      </c>
      <c r="H106" s="76">
        <v>2092589.73</v>
      </c>
      <c r="I106" s="74">
        <f t="shared" si="14"/>
        <v>2483085</v>
      </c>
    </row>
    <row r="107" spans="1:15" s="3" customFormat="1" ht="15.75" thickBot="1">
      <c r="A107" s="26">
        <v>2007</v>
      </c>
      <c r="B107" s="29" t="s">
        <v>13</v>
      </c>
      <c r="C107" s="82">
        <v>191970</v>
      </c>
      <c r="D107" s="83">
        <v>0</v>
      </c>
      <c r="E107" s="82">
        <v>5003683</v>
      </c>
      <c r="F107" s="84">
        <v>-493863.5</v>
      </c>
      <c r="G107" s="85">
        <v>406421.87</v>
      </c>
      <c r="H107" s="86">
        <v>2156568.63</v>
      </c>
      <c r="I107" s="84">
        <f t="shared" si="14"/>
        <v>2562990.5</v>
      </c>
      <c r="J107" s="5"/>
      <c r="K107" s="5"/>
      <c r="L107" s="5"/>
      <c r="M107" s="5"/>
      <c r="N107" s="5"/>
      <c r="O107" s="5"/>
    </row>
    <row r="108" spans="1:15" ht="16.5" thickTop="1" thickBot="1">
      <c r="A108" s="31">
        <v>2007</v>
      </c>
      <c r="B108" s="32" t="s">
        <v>14</v>
      </c>
      <c r="C108" s="87">
        <f t="shared" ref="C108:I108" si="15">SUM(C96:C107)</f>
        <v>2294379</v>
      </c>
      <c r="D108" s="88">
        <f t="shared" si="15"/>
        <v>-10730.49</v>
      </c>
      <c r="E108" s="87">
        <f t="shared" si="15"/>
        <v>65172936</v>
      </c>
      <c r="F108" s="89">
        <f t="shared" si="15"/>
        <v>-6431677.71</v>
      </c>
      <c r="G108" s="90">
        <f t="shared" si="15"/>
        <v>4679909.4200000009</v>
      </c>
      <c r="H108" s="91">
        <f t="shared" si="15"/>
        <v>25925842.27</v>
      </c>
      <c r="I108" s="89">
        <f t="shared" si="15"/>
        <v>30605751.690000001</v>
      </c>
      <c r="J108" s="3"/>
      <c r="K108" s="3"/>
      <c r="L108" s="3"/>
      <c r="M108" s="3"/>
      <c r="N108" s="3"/>
      <c r="O108" s="3"/>
    </row>
    <row r="109" spans="1:15" ht="15.75" thickTop="1">
      <c r="A109" s="25">
        <v>2008</v>
      </c>
      <c r="B109" s="28" t="s">
        <v>2</v>
      </c>
      <c r="C109" s="72">
        <v>193538</v>
      </c>
      <c r="D109" s="73">
        <v>-38417.300000000003</v>
      </c>
      <c r="E109" s="72">
        <v>5379493</v>
      </c>
      <c r="F109" s="74">
        <v>-530955.96</v>
      </c>
      <c r="G109" s="75">
        <v>410936.49</v>
      </c>
      <c r="H109" s="76">
        <v>2034858.63</v>
      </c>
      <c r="I109" s="74">
        <f t="shared" ref="I109:I120" si="16">SUM(G109:H109)</f>
        <v>2445795.12</v>
      </c>
    </row>
    <row r="110" spans="1:15">
      <c r="A110" s="25">
        <v>2008</v>
      </c>
      <c r="B110" s="28" t="s">
        <v>3</v>
      </c>
      <c r="C110" s="72">
        <v>207389</v>
      </c>
      <c r="D110" s="73">
        <v>-41166.720000000001</v>
      </c>
      <c r="E110" s="72">
        <v>5025085</v>
      </c>
      <c r="F110" s="74">
        <v>-495975.89</v>
      </c>
      <c r="G110" s="75">
        <v>378387.27</v>
      </c>
      <c r="H110" s="76">
        <v>1828614.33</v>
      </c>
      <c r="I110" s="74">
        <f t="shared" si="16"/>
        <v>2207001.6000000001</v>
      </c>
    </row>
    <row r="111" spans="1:15">
      <c r="A111" s="25">
        <v>2008</v>
      </c>
      <c r="B111" s="28" t="s">
        <v>4</v>
      </c>
      <c r="C111" s="72">
        <v>242783</v>
      </c>
      <c r="D111" s="73">
        <v>-40301.97</v>
      </c>
      <c r="E111" s="72">
        <v>5365924</v>
      </c>
      <c r="F111" s="74">
        <v>-529616.71</v>
      </c>
      <c r="G111" s="75">
        <v>405913.95</v>
      </c>
      <c r="H111" s="76">
        <v>1983945.59</v>
      </c>
      <c r="I111" s="74">
        <f t="shared" si="16"/>
        <v>2389859.54</v>
      </c>
    </row>
    <row r="112" spans="1:15">
      <c r="A112" s="25">
        <v>2008</v>
      </c>
      <c r="B112" s="28" t="s">
        <v>5</v>
      </c>
      <c r="C112" s="72">
        <v>244121</v>
      </c>
      <c r="D112" s="73">
        <v>-48458.01</v>
      </c>
      <c r="E112" s="72">
        <v>5432919</v>
      </c>
      <c r="F112" s="74">
        <v>-536229.13</v>
      </c>
      <c r="G112" s="75">
        <v>390056.25</v>
      </c>
      <c r="H112" s="76">
        <v>1981647.91</v>
      </c>
      <c r="I112" s="74">
        <f t="shared" si="16"/>
        <v>2371704.16</v>
      </c>
    </row>
    <row r="113" spans="1:15">
      <c r="A113" s="25">
        <v>2008</v>
      </c>
      <c r="B113" s="28" t="s">
        <v>6</v>
      </c>
      <c r="C113" s="72">
        <v>328005</v>
      </c>
      <c r="D113" s="73">
        <v>-25715.59</v>
      </c>
      <c r="E113" s="72">
        <v>5728446</v>
      </c>
      <c r="F113" s="74">
        <v>-565397.61</v>
      </c>
      <c r="G113" s="75">
        <v>392498.25</v>
      </c>
      <c r="H113" s="76">
        <v>1398208.71</v>
      </c>
      <c r="I113" s="74">
        <f t="shared" si="16"/>
        <v>1790706.96</v>
      </c>
    </row>
    <row r="114" spans="1:15">
      <c r="A114" s="25">
        <v>2008</v>
      </c>
      <c r="B114" s="28" t="s">
        <v>7</v>
      </c>
      <c r="C114" s="72">
        <v>292384</v>
      </c>
      <c r="D114" s="73">
        <v>-40816.81</v>
      </c>
      <c r="E114" s="72">
        <v>5483603</v>
      </c>
      <c r="F114" s="74">
        <v>-541231.62</v>
      </c>
      <c r="G114" s="75">
        <v>363764.12</v>
      </c>
      <c r="H114" s="76">
        <v>1273713.93</v>
      </c>
      <c r="I114" s="74">
        <f t="shared" si="16"/>
        <v>1637478.0499999998</v>
      </c>
    </row>
    <row r="115" spans="1:15">
      <c r="A115" s="25">
        <v>2008</v>
      </c>
      <c r="B115" s="28" t="s">
        <v>8</v>
      </c>
      <c r="C115" s="72">
        <v>275700</v>
      </c>
      <c r="D115" s="73">
        <v>-54726.47</v>
      </c>
      <c r="E115" s="72">
        <v>5774099</v>
      </c>
      <c r="F115" s="74">
        <v>-569903.56000000006</v>
      </c>
      <c r="G115" s="75">
        <v>373953.04</v>
      </c>
      <c r="H115" s="76">
        <v>1262169.1499999999</v>
      </c>
      <c r="I115" s="74">
        <f t="shared" si="16"/>
        <v>1636122.19</v>
      </c>
    </row>
    <row r="116" spans="1:15">
      <c r="A116" s="25">
        <v>2008</v>
      </c>
      <c r="B116" s="28" t="s">
        <v>9</v>
      </c>
      <c r="C116" s="72">
        <v>312601</v>
      </c>
      <c r="D116" s="73">
        <v>-16474.07</v>
      </c>
      <c r="E116" s="72">
        <v>6138347</v>
      </c>
      <c r="F116" s="74">
        <v>-605854.84</v>
      </c>
      <c r="G116" s="75">
        <v>380964.87</v>
      </c>
      <c r="H116" s="76">
        <v>1284458.6000000001</v>
      </c>
      <c r="I116" s="74">
        <f t="shared" si="16"/>
        <v>1665423.4700000002</v>
      </c>
    </row>
    <row r="117" spans="1:15">
      <c r="A117" s="27">
        <v>2008</v>
      </c>
      <c r="B117" s="30" t="s">
        <v>10</v>
      </c>
      <c r="C117" s="92">
        <v>291366</v>
      </c>
      <c r="D117" s="93">
        <v>-27592.36</v>
      </c>
      <c r="E117" s="92">
        <v>6020114</v>
      </c>
      <c r="F117" s="94">
        <v>-594185.25</v>
      </c>
      <c r="G117" s="95">
        <v>508991.64</v>
      </c>
      <c r="H117" s="96">
        <v>1641242.6</v>
      </c>
      <c r="I117" s="94">
        <f t="shared" si="16"/>
        <v>2150234.2400000002</v>
      </c>
    </row>
    <row r="118" spans="1:15">
      <c r="A118" s="25">
        <v>2008</v>
      </c>
      <c r="B118" s="28" t="s">
        <v>11</v>
      </c>
      <c r="C118" s="72">
        <v>256630</v>
      </c>
      <c r="D118" s="73">
        <v>-50941.06</v>
      </c>
      <c r="E118" s="72">
        <v>5978234</v>
      </c>
      <c r="F118" s="74">
        <v>-590051.68999999994</v>
      </c>
      <c r="G118" s="75">
        <v>545129.44999999995</v>
      </c>
      <c r="H118" s="76">
        <v>1664050.46</v>
      </c>
      <c r="I118" s="74">
        <f t="shared" si="16"/>
        <v>2209179.91</v>
      </c>
    </row>
    <row r="119" spans="1:15">
      <c r="A119" s="25">
        <v>2008</v>
      </c>
      <c r="B119" s="28" t="s">
        <v>12</v>
      </c>
      <c r="C119" s="72">
        <v>238779</v>
      </c>
      <c r="D119" s="73">
        <v>-47397.65</v>
      </c>
      <c r="E119" s="72">
        <v>5227961</v>
      </c>
      <c r="F119" s="74">
        <v>-515999.76</v>
      </c>
      <c r="G119" s="75">
        <v>526946.23</v>
      </c>
      <c r="H119" s="76">
        <v>1644887.5</v>
      </c>
      <c r="I119" s="74">
        <f t="shared" si="16"/>
        <v>2171833.73</v>
      </c>
    </row>
    <row r="120" spans="1:15" s="3" customFormat="1" ht="15.75" thickBot="1">
      <c r="A120" s="25">
        <v>2008</v>
      </c>
      <c r="B120" s="28" t="s">
        <v>13</v>
      </c>
      <c r="C120" s="72">
        <v>292149</v>
      </c>
      <c r="D120" s="73">
        <v>-57991.57</v>
      </c>
      <c r="E120" s="72">
        <v>5273906</v>
      </c>
      <c r="F120" s="74">
        <v>-520534.51</v>
      </c>
      <c r="G120" s="75">
        <v>536008.18999999994</v>
      </c>
      <c r="H120" s="76">
        <v>2356006.48</v>
      </c>
      <c r="I120" s="74">
        <f t="shared" si="16"/>
        <v>2892014.67</v>
      </c>
      <c r="J120" s="5"/>
      <c r="K120" s="5"/>
      <c r="L120" s="5"/>
      <c r="M120" s="5"/>
      <c r="N120" s="5"/>
      <c r="O120" s="5"/>
    </row>
    <row r="121" spans="1:15" ht="16.5" thickTop="1" thickBot="1">
      <c r="A121" s="33">
        <v>2008</v>
      </c>
      <c r="B121" s="34" t="s">
        <v>14</v>
      </c>
      <c r="C121" s="77">
        <f t="shared" ref="C121:I121" si="17">SUM(C109:C120)</f>
        <v>3175445</v>
      </c>
      <c r="D121" s="78">
        <f t="shared" si="17"/>
        <v>-489999.58</v>
      </c>
      <c r="E121" s="77">
        <f t="shared" si="17"/>
        <v>66828131</v>
      </c>
      <c r="F121" s="79">
        <f t="shared" si="17"/>
        <v>-6595936.5299999993</v>
      </c>
      <c r="G121" s="80">
        <f t="shared" si="17"/>
        <v>5213549.75</v>
      </c>
      <c r="H121" s="81">
        <f t="shared" si="17"/>
        <v>20353803.890000001</v>
      </c>
      <c r="I121" s="79">
        <f t="shared" si="17"/>
        <v>25567353.640000008</v>
      </c>
      <c r="J121" s="3"/>
      <c r="K121" s="3"/>
      <c r="L121" s="3"/>
      <c r="M121" s="3"/>
      <c r="N121" s="3"/>
      <c r="O121" s="3"/>
    </row>
    <row r="122" spans="1:15" ht="15.75" thickTop="1">
      <c r="A122" s="25">
        <v>2009</v>
      </c>
      <c r="B122" s="28" t="s">
        <v>2</v>
      </c>
      <c r="C122" s="72">
        <v>329746</v>
      </c>
      <c r="D122" s="73">
        <v>-65454.58</v>
      </c>
      <c r="E122" s="72">
        <v>5289675</v>
      </c>
      <c r="F122" s="74">
        <v>-522090.93</v>
      </c>
      <c r="G122" s="75">
        <v>560167.97</v>
      </c>
      <c r="H122" s="76">
        <v>2435274.9300000002</v>
      </c>
      <c r="I122" s="74">
        <f t="shared" ref="I122:I133" si="18">SUM(G122:H122)</f>
        <v>2995442.9000000004</v>
      </c>
    </row>
    <row r="123" spans="1:15">
      <c r="A123" s="25">
        <v>2009</v>
      </c>
      <c r="B123" s="28" t="s">
        <v>3</v>
      </c>
      <c r="C123" s="72">
        <v>224660</v>
      </c>
      <c r="D123" s="73">
        <v>-1303.02</v>
      </c>
      <c r="E123" s="72">
        <v>5064620</v>
      </c>
      <c r="F123" s="74">
        <v>-499877.98</v>
      </c>
      <c r="G123" s="75">
        <v>507663.57</v>
      </c>
      <c r="H123" s="76">
        <v>2342199.11</v>
      </c>
      <c r="I123" s="74">
        <f t="shared" si="18"/>
        <v>2849862.6799999997</v>
      </c>
    </row>
    <row r="124" spans="1:15">
      <c r="A124" s="25">
        <v>2009</v>
      </c>
      <c r="B124" s="28" t="s">
        <v>4</v>
      </c>
      <c r="C124" s="72">
        <v>254862</v>
      </c>
      <c r="D124" s="73">
        <v>-1121.3800000000001</v>
      </c>
      <c r="E124" s="72">
        <v>5633469</v>
      </c>
      <c r="F124" s="74">
        <v>-556023.4</v>
      </c>
      <c r="G124" s="75">
        <v>545827.15</v>
      </c>
      <c r="H124" s="76">
        <v>2538327.1</v>
      </c>
      <c r="I124" s="74">
        <f t="shared" si="18"/>
        <v>3084154.25</v>
      </c>
    </row>
    <row r="125" spans="1:15">
      <c r="A125" s="25">
        <v>2009</v>
      </c>
      <c r="B125" s="28" t="s">
        <v>5</v>
      </c>
      <c r="C125" s="72">
        <v>202211</v>
      </c>
      <c r="D125" s="73">
        <v>-3943.11</v>
      </c>
      <c r="E125" s="72">
        <v>5310762</v>
      </c>
      <c r="F125" s="74">
        <v>-524172.19</v>
      </c>
      <c r="G125" s="75">
        <v>527065.93000000005</v>
      </c>
      <c r="H125" s="76">
        <v>2386630.5299999998</v>
      </c>
      <c r="I125" s="74">
        <f t="shared" si="18"/>
        <v>2913696.46</v>
      </c>
    </row>
    <row r="126" spans="1:15">
      <c r="A126" s="25">
        <v>2009</v>
      </c>
      <c r="B126" s="28" t="s">
        <v>6</v>
      </c>
      <c r="C126" s="72">
        <v>207686</v>
      </c>
      <c r="D126" s="73">
        <v>-21163.200000000001</v>
      </c>
      <c r="E126" s="72">
        <v>5674974</v>
      </c>
      <c r="F126" s="74">
        <v>-560119.93999999994</v>
      </c>
      <c r="G126" s="75">
        <v>528439.77</v>
      </c>
      <c r="H126" s="76">
        <v>2548549.61</v>
      </c>
      <c r="I126" s="74">
        <f t="shared" si="18"/>
        <v>3076989.38</v>
      </c>
    </row>
    <row r="127" spans="1:15">
      <c r="A127" s="25">
        <v>2009</v>
      </c>
      <c r="B127" s="28" t="s">
        <v>7</v>
      </c>
      <c r="C127" s="72">
        <v>211918</v>
      </c>
      <c r="D127" s="73">
        <v>0</v>
      </c>
      <c r="E127" s="72">
        <v>5570075</v>
      </c>
      <c r="F127" s="74">
        <v>-549766.38</v>
      </c>
      <c r="G127" s="75">
        <v>495014.99</v>
      </c>
      <c r="H127" s="76">
        <v>2444276.4900000002</v>
      </c>
      <c r="I127" s="74">
        <f t="shared" si="18"/>
        <v>2939291.4800000004</v>
      </c>
    </row>
    <row r="128" spans="1:15">
      <c r="A128" s="25">
        <v>2009</v>
      </c>
      <c r="B128" s="28" t="s">
        <v>8</v>
      </c>
      <c r="C128" s="72">
        <v>244919</v>
      </c>
      <c r="D128" s="73">
        <v>0</v>
      </c>
      <c r="E128" s="72">
        <v>5913916</v>
      </c>
      <c r="F128" s="74">
        <v>-583703.52</v>
      </c>
      <c r="G128" s="75">
        <v>510824.95</v>
      </c>
      <c r="H128" s="76">
        <v>2482351.12</v>
      </c>
      <c r="I128" s="74">
        <f t="shared" si="18"/>
        <v>2993176.0700000003</v>
      </c>
    </row>
    <row r="129" spans="1:15">
      <c r="A129" s="25">
        <v>2009</v>
      </c>
      <c r="B129" s="28" t="s">
        <v>9</v>
      </c>
      <c r="C129" s="72">
        <v>227467</v>
      </c>
      <c r="D129" s="73">
        <v>0</v>
      </c>
      <c r="E129" s="72">
        <v>5953151</v>
      </c>
      <c r="F129" s="74">
        <v>-587575.99</v>
      </c>
      <c r="G129" s="75">
        <v>517930.81</v>
      </c>
      <c r="H129" s="76">
        <v>2720060.44</v>
      </c>
      <c r="I129" s="74">
        <f t="shared" si="18"/>
        <v>3237991.25</v>
      </c>
    </row>
    <row r="130" spans="1:15">
      <c r="A130" s="25">
        <v>2009</v>
      </c>
      <c r="B130" s="28" t="s">
        <v>10</v>
      </c>
      <c r="C130" s="72">
        <v>219031</v>
      </c>
      <c r="D130" s="73">
        <v>0</v>
      </c>
      <c r="E130" s="72">
        <v>5782101</v>
      </c>
      <c r="F130" s="74">
        <v>-570693.39</v>
      </c>
      <c r="G130" s="75">
        <v>512676.35</v>
      </c>
      <c r="H130" s="76">
        <v>2666950.4700000002</v>
      </c>
      <c r="I130" s="74">
        <f t="shared" si="18"/>
        <v>3179626.8200000003</v>
      </c>
    </row>
    <row r="131" spans="1:15">
      <c r="A131" s="25">
        <v>2009</v>
      </c>
      <c r="B131" s="28" t="s">
        <v>11</v>
      </c>
      <c r="C131" s="72">
        <v>185367</v>
      </c>
      <c r="D131" s="73">
        <v>-6302.47</v>
      </c>
      <c r="E131" s="72">
        <v>5604247</v>
      </c>
      <c r="F131" s="74">
        <v>-553139.19999999995</v>
      </c>
      <c r="G131" s="75">
        <v>536361.93999999994</v>
      </c>
      <c r="H131" s="76">
        <v>2697554.53</v>
      </c>
      <c r="I131" s="74">
        <f t="shared" si="18"/>
        <v>3233916.4699999997</v>
      </c>
    </row>
    <row r="132" spans="1:15">
      <c r="A132" s="25">
        <v>2009</v>
      </c>
      <c r="B132" s="28" t="s">
        <v>12</v>
      </c>
      <c r="C132" s="72">
        <v>225110</v>
      </c>
      <c r="D132" s="73">
        <v>-8599.2000000000007</v>
      </c>
      <c r="E132" s="72">
        <v>5314163</v>
      </c>
      <c r="F132" s="74">
        <v>-524507.89</v>
      </c>
      <c r="G132" s="75">
        <v>514076.32</v>
      </c>
      <c r="H132" s="76">
        <v>2480487.31</v>
      </c>
      <c r="I132" s="74">
        <f t="shared" si="18"/>
        <v>2994563.63</v>
      </c>
    </row>
    <row r="133" spans="1:15" s="3" customFormat="1" ht="15.75" thickBot="1">
      <c r="A133" s="26">
        <v>2009</v>
      </c>
      <c r="B133" s="29" t="s">
        <v>13</v>
      </c>
      <c r="C133" s="82">
        <v>222775</v>
      </c>
      <c r="D133" s="83">
        <v>0</v>
      </c>
      <c r="E133" s="82">
        <v>5366933</v>
      </c>
      <c r="F133" s="84">
        <v>-529716.30000000005</v>
      </c>
      <c r="G133" s="85">
        <v>523335.98</v>
      </c>
      <c r="H133" s="86">
        <v>2490754.7200000002</v>
      </c>
      <c r="I133" s="84">
        <f t="shared" si="18"/>
        <v>3014090.7</v>
      </c>
      <c r="J133" s="5"/>
      <c r="K133" s="5"/>
      <c r="L133" s="5"/>
      <c r="M133" s="5"/>
      <c r="N133" s="5"/>
      <c r="O133" s="5"/>
    </row>
    <row r="134" spans="1:15" ht="16.5" thickTop="1" thickBot="1">
      <c r="A134" s="31">
        <v>2009</v>
      </c>
      <c r="B134" s="32" t="s">
        <v>14</v>
      </c>
      <c r="C134" s="87">
        <f t="shared" ref="C134:I134" si="19">SUM(C122:C133)</f>
        <v>2755752</v>
      </c>
      <c r="D134" s="88">
        <f t="shared" si="19"/>
        <v>-107886.96</v>
      </c>
      <c r="E134" s="87">
        <f t="shared" si="19"/>
        <v>66478086</v>
      </c>
      <c r="F134" s="89">
        <f t="shared" si="19"/>
        <v>-6561387.1099999994</v>
      </c>
      <c r="G134" s="90">
        <f t="shared" si="19"/>
        <v>6279385.7300000004</v>
      </c>
      <c r="H134" s="91">
        <f t="shared" si="19"/>
        <v>30233416.359999999</v>
      </c>
      <c r="I134" s="89">
        <f t="shared" si="19"/>
        <v>36512802.089999996</v>
      </c>
      <c r="J134" s="3"/>
      <c r="K134" s="3"/>
      <c r="L134" s="3"/>
      <c r="M134" s="3"/>
      <c r="N134" s="3"/>
      <c r="O134" s="3"/>
    </row>
    <row r="135" spans="1:15" ht="15.75" thickTop="1">
      <c r="A135" s="25">
        <v>2010</v>
      </c>
      <c r="B135" s="28" t="s">
        <v>2</v>
      </c>
      <c r="C135" s="72">
        <v>201319</v>
      </c>
      <c r="D135" s="73">
        <v>-25346.06</v>
      </c>
      <c r="E135" s="72">
        <v>5753830</v>
      </c>
      <c r="F135" s="74">
        <v>-567903.01</v>
      </c>
      <c r="G135" s="75">
        <v>523964.3</v>
      </c>
      <c r="H135" s="76">
        <v>2531329.69</v>
      </c>
      <c r="I135" s="74">
        <f t="shared" ref="I135:I146" si="20">SUM(G135:H135)</f>
        <v>3055293.9899999998</v>
      </c>
    </row>
    <row r="136" spans="1:15">
      <c r="A136" s="25">
        <v>2010</v>
      </c>
      <c r="B136" s="28" t="s">
        <v>3</v>
      </c>
      <c r="C136" s="72">
        <v>188016</v>
      </c>
      <c r="D136" s="73">
        <v>-21321.01</v>
      </c>
      <c r="E136" s="72">
        <v>5219833</v>
      </c>
      <c r="F136" s="74">
        <v>-515197.53</v>
      </c>
      <c r="G136" s="75">
        <v>475081.86</v>
      </c>
      <c r="H136" s="76">
        <v>2398637.59</v>
      </c>
      <c r="I136" s="74">
        <f t="shared" si="20"/>
        <v>2873719.4499999997</v>
      </c>
    </row>
    <row r="137" spans="1:15">
      <c r="A137" s="25">
        <v>2010</v>
      </c>
      <c r="B137" s="28" t="s">
        <v>4</v>
      </c>
      <c r="C137" s="72">
        <v>251616</v>
      </c>
      <c r="D137" s="73">
        <v>-38899.82</v>
      </c>
      <c r="E137" s="72">
        <v>5761744</v>
      </c>
      <c r="F137" s="74">
        <v>-568684.16</v>
      </c>
      <c r="G137" s="75">
        <v>512317.45</v>
      </c>
      <c r="H137" s="76">
        <v>2616553.89</v>
      </c>
      <c r="I137" s="74">
        <f t="shared" si="20"/>
        <v>3128871.3400000003</v>
      </c>
    </row>
    <row r="138" spans="1:15">
      <c r="A138" s="25">
        <v>2010</v>
      </c>
      <c r="B138" s="28" t="s">
        <v>5</v>
      </c>
      <c r="C138" s="72">
        <v>227027</v>
      </c>
      <c r="D138" s="73">
        <v>0</v>
      </c>
      <c r="E138" s="72">
        <v>5586481</v>
      </c>
      <c r="F138" s="74">
        <v>-551385.68000000005</v>
      </c>
      <c r="G138" s="75">
        <v>492536.47</v>
      </c>
      <c r="H138" s="76">
        <v>2563385.77</v>
      </c>
      <c r="I138" s="74">
        <f t="shared" si="20"/>
        <v>3055922.24</v>
      </c>
    </row>
    <row r="139" spans="1:15">
      <c r="A139" s="25">
        <v>2010</v>
      </c>
      <c r="B139" s="28" t="s">
        <v>6</v>
      </c>
      <c r="C139" s="72">
        <v>193918</v>
      </c>
      <c r="D139" s="73">
        <v>0</v>
      </c>
      <c r="E139" s="72">
        <v>5702700</v>
      </c>
      <c r="F139" s="74">
        <v>-562856.49</v>
      </c>
      <c r="G139" s="75">
        <v>495953.6</v>
      </c>
      <c r="H139" s="76">
        <v>2671572.8199999998</v>
      </c>
      <c r="I139" s="74">
        <f t="shared" si="20"/>
        <v>3167526.42</v>
      </c>
    </row>
    <row r="140" spans="1:15">
      <c r="A140" s="25">
        <v>2010</v>
      </c>
      <c r="B140" s="28" t="s">
        <v>7</v>
      </c>
      <c r="C140" s="72">
        <v>188099</v>
      </c>
      <c r="D140" s="73">
        <v>0</v>
      </c>
      <c r="E140" s="72">
        <v>5359043</v>
      </c>
      <c r="F140" s="74">
        <v>-528937.53</v>
      </c>
      <c r="G140" s="75">
        <v>438458.01</v>
      </c>
      <c r="H140" s="76">
        <v>2505805.59</v>
      </c>
      <c r="I140" s="74">
        <f t="shared" si="20"/>
        <v>2944263.5999999996</v>
      </c>
    </row>
    <row r="141" spans="1:15">
      <c r="A141" s="25">
        <v>2010</v>
      </c>
      <c r="B141" s="28" t="s">
        <v>8</v>
      </c>
      <c r="C141" s="72">
        <v>197095</v>
      </c>
      <c r="D141" s="73">
        <v>0</v>
      </c>
      <c r="E141" s="72">
        <v>5628794</v>
      </c>
      <c r="F141" s="74">
        <v>-555561.98</v>
      </c>
      <c r="G141" s="75">
        <v>445443.98</v>
      </c>
      <c r="H141" s="76">
        <v>2483435.88</v>
      </c>
      <c r="I141" s="74">
        <f t="shared" si="20"/>
        <v>2928879.86</v>
      </c>
    </row>
    <row r="142" spans="1:15">
      <c r="A142" s="25">
        <v>2010</v>
      </c>
      <c r="B142" s="28" t="s">
        <v>9</v>
      </c>
      <c r="C142" s="72">
        <v>205218</v>
      </c>
      <c r="D142" s="73">
        <v>0</v>
      </c>
      <c r="E142" s="72">
        <v>5537508</v>
      </c>
      <c r="F142" s="74">
        <v>-546552.03</v>
      </c>
      <c r="G142" s="75">
        <v>469257.3</v>
      </c>
      <c r="H142" s="76">
        <v>2479399.4900000002</v>
      </c>
      <c r="I142" s="74">
        <f t="shared" si="20"/>
        <v>2948656.79</v>
      </c>
    </row>
    <row r="143" spans="1:15">
      <c r="A143" s="25">
        <v>2010</v>
      </c>
      <c r="B143" s="28" t="s">
        <v>10</v>
      </c>
      <c r="C143" s="72">
        <v>245712</v>
      </c>
      <c r="D143" s="73">
        <v>0</v>
      </c>
      <c r="E143" s="72">
        <v>5414036</v>
      </c>
      <c r="F143" s="74">
        <v>-534365.32999999996</v>
      </c>
      <c r="G143" s="75">
        <v>463791.61</v>
      </c>
      <c r="H143" s="76">
        <v>2489452.17</v>
      </c>
      <c r="I143" s="74">
        <f t="shared" si="20"/>
        <v>2953243.78</v>
      </c>
    </row>
    <row r="144" spans="1:15">
      <c r="A144" s="25">
        <v>2010</v>
      </c>
      <c r="B144" s="28" t="s">
        <v>11</v>
      </c>
      <c r="C144" s="72">
        <v>195904</v>
      </c>
      <c r="D144" s="73">
        <v>0</v>
      </c>
      <c r="E144" s="72">
        <v>5502761</v>
      </c>
      <c r="F144" s="74">
        <v>-543122.51</v>
      </c>
      <c r="G144" s="75">
        <v>484977.86</v>
      </c>
      <c r="H144" s="76">
        <v>2522742.67</v>
      </c>
      <c r="I144" s="74">
        <f t="shared" si="20"/>
        <v>3007720.53</v>
      </c>
    </row>
    <row r="145" spans="1:15">
      <c r="A145" s="25">
        <v>2010</v>
      </c>
      <c r="B145" s="28" t="s">
        <v>12</v>
      </c>
      <c r="C145" s="72">
        <v>196705</v>
      </c>
      <c r="D145" s="73">
        <v>0</v>
      </c>
      <c r="E145" s="72">
        <v>5023575</v>
      </c>
      <c r="F145" s="74">
        <v>-495826.85</v>
      </c>
      <c r="G145" s="75">
        <v>476226.46</v>
      </c>
      <c r="H145" s="76">
        <v>2385842.77</v>
      </c>
      <c r="I145" s="74">
        <f t="shared" si="20"/>
        <v>2862069.23</v>
      </c>
    </row>
    <row r="146" spans="1:15" s="3" customFormat="1" ht="15.75" thickBot="1">
      <c r="A146" s="25">
        <v>2010</v>
      </c>
      <c r="B146" s="28" t="s">
        <v>13</v>
      </c>
      <c r="C146" s="72">
        <v>221687</v>
      </c>
      <c r="D146" s="73">
        <v>0</v>
      </c>
      <c r="E146" s="72">
        <v>5078487</v>
      </c>
      <c r="F146" s="74">
        <v>-501246.67</v>
      </c>
      <c r="G146" s="75">
        <v>484188.24</v>
      </c>
      <c r="H146" s="76">
        <v>2348512.88</v>
      </c>
      <c r="I146" s="74">
        <f t="shared" si="20"/>
        <v>2832701.12</v>
      </c>
      <c r="J146" s="5"/>
      <c r="K146" s="5"/>
      <c r="L146" s="5"/>
      <c r="M146" s="5"/>
      <c r="N146" s="5"/>
      <c r="O146" s="5"/>
    </row>
    <row r="147" spans="1:15" ht="16.5" thickTop="1" thickBot="1">
      <c r="A147" s="33">
        <v>2010</v>
      </c>
      <c r="B147" s="34" t="s">
        <v>14</v>
      </c>
      <c r="C147" s="77">
        <f t="shared" ref="C147:I147" si="21">SUM(C135:C146)</f>
        <v>2512316</v>
      </c>
      <c r="D147" s="78">
        <f t="shared" si="21"/>
        <v>-85566.89</v>
      </c>
      <c r="E147" s="77">
        <f t="shared" si="21"/>
        <v>65568792</v>
      </c>
      <c r="F147" s="79">
        <f t="shared" si="21"/>
        <v>-6471639.7699999996</v>
      </c>
      <c r="G147" s="80">
        <f t="shared" si="21"/>
        <v>5762197.1399999997</v>
      </c>
      <c r="H147" s="81">
        <f t="shared" si="21"/>
        <v>29996671.210000001</v>
      </c>
      <c r="I147" s="79">
        <f t="shared" si="21"/>
        <v>35758868.350000001</v>
      </c>
      <c r="J147" s="3"/>
      <c r="K147" s="3"/>
      <c r="L147" s="3"/>
      <c r="M147" s="3"/>
      <c r="N147" s="3"/>
      <c r="O147" s="3"/>
    </row>
    <row r="148" spans="1:15" ht="15.75" thickTop="1">
      <c r="A148" s="25">
        <v>2011</v>
      </c>
      <c r="B148" s="28" t="s">
        <v>2</v>
      </c>
      <c r="C148" s="72">
        <v>212276</v>
      </c>
      <c r="D148" s="73">
        <v>0</v>
      </c>
      <c r="E148" s="72">
        <v>5228883</v>
      </c>
      <c r="F148" s="74">
        <v>-516090.76</v>
      </c>
      <c r="G148" s="75">
        <v>490174.09</v>
      </c>
      <c r="H148" s="76">
        <v>2471199.54</v>
      </c>
      <c r="I148" s="74">
        <f t="shared" ref="I148:I159" si="22">SUM(G148:H148)</f>
        <v>2961373.63</v>
      </c>
    </row>
    <row r="149" spans="1:15">
      <c r="A149" s="25">
        <v>2011</v>
      </c>
      <c r="B149" s="28" t="s">
        <v>3</v>
      </c>
      <c r="C149" s="72">
        <v>203334</v>
      </c>
      <c r="D149" s="73">
        <v>0</v>
      </c>
      <c r="E149" s="72">
        <v>4717522</v>
      </c>
      <c r="F149" s="74">
        <v>-465619.43</v>
      </c>
      <c r="G149" s="75">
        <v>434528.77</v>
      </c>
      <c r="H149" s="76">
        <v>2173920.36</v>
      </c>
      <c r="I149" s="74">
        <f t="shared" si="22"/>
        <v>2608449.13</v>
      </c>
    </row>
    <row r="150" spans="1:15">
      <c r="A150" s="25">
        <v>2011</v>
      </c>
      <c r="B150" s="28" t="s">
        <v>4</v>
      </c>
      <c r="C150" s="72">
        <v>222946</v>
      </c>
      <c r="D150" s="73">
        <v>0</v>
      </c>
      <c r="E150" s="72">
        <v>5225656</v>
      </c>
      <c r="F150" s="74">
        <v>-515772.25</v>
      </c>
      <c r="G150" s="75">
        <v>483693.78</v>
      </c>
      <c r="H150" s="76">
        <v>2468229.08</v>
      </c>
      <c r="I150" s="74">
        <f t="shared" si="22"/>
        <v>2951922.8600000003</v>
      </c>
    </row>
    <row r="151" spans="1:15">
      <c r="A151" s="25">
        <v>2011</v>
      </c>
      <c r="B151" s="28" t="s">
        <v>5</v>
      </c>
      <c r="C151" s="72">
        <v>216859</v>
      </c>
      <c r="D151" s="73">
        <v>0</v>
      </c>
      <c r="E151" s="72">
        <v>5002446</v>
      </c>
      <c r="F151" s="74">
        <v>-493741.42</v>
      </c>
      <c r="G151" s="75">
        <v>427896.89</v>
      </c>
      <c r="H151" s="76">
        <v>2279046.86</v>
      </c>
      <c r="I151" s="74">
        <f t="shared" si="22"/>
        <v>2706943.75</v>
      </c>
    </row>
    <row r="152" spans="1:15">
      <c r="A152" s="25">
        <v>2011</v>
      </c>
      <c r="B152" s="28" t="s">
        <v>6</v>
      </c>
      <c r="C152" s="72">
        <v>216754</v>
      </c>
      <c r="D152" s="73">
        <v>0</v>
      </c>
      <c r="E152" s="72">
        <v>5281611</v>
      </c>
      <c r="F152" s="74">
        <v>-521295</v>
      </c>
      <c r="G152" s="75">
        <v>458786.72</v>
      </c>
      <c r="H152" s="76">
        <v>2379812.65</v>
      </c>
      <c r="I152" s="74">
        <f t="shared" si="22"/>
        <v>2838599.37</v>
      </c>
    </row>
    <row r="153" spans="1:15">
      <c r="A153" s="25">
        <v>2011</v>
      </c>
      <c r="B153" s="28" t="s">
        <v>7</v>
      </c>
      <c r="C153" s="72">
        <v>250033</v>
      </c>
      <c r="D153" s="73">
        <v>0</v>
      </c>
      <c r="E153" s="72">
        <v>4938726</v>
      </c>
      <c r="F153" s="74">
        <v>-487452.24</v>
      </c>
      <c r="G153" s="75">
        <v>414279.21</v>
      </c>
      <c r="H153" s="76">
        <v>2223027.67</v>
      </c>
      <c r="I153" s="74">
        <f t="shared" si="22"/>
        <v>2637306.8799999999</v>
      </c>
    </row>
    <row r="154" spans="1:15">
      <c r="A154" s="25">
        <v>2011</v>
      </c>
      <c r="B154" s="28" t="s">
        <v>8</v>
      </c>
      <c r="C154" s="72">
        <v>228264</v>
      </c>
      <c r="D154" s="73">
        <v>0</v>
      </c>
      <c r="E154" s="72">
        <v>5102806</v>
      </c>
      <c r="F154" s="74">
        <v>-503646.96</v>
      </c>
      <c r="G154" s="75">
        <v>430032.32</v>
      </c>
      <c r="H154" s="76">
        <v>2202115.61</v>
      </c>
      <c r="I154" s="74">
        <f t="shared" si="22"/>
        <v>2632147.9299999997</v>
      </c>
    </row>
    <row r="155" spans="1:15">
      <c r="A155" s="25">
        <v>2011</v>
      </c>
      <c r="B155" s="28" t="s">
        <v>9</v>
      </c>
      <c r="C155" s="72">
        <v>249808</v>
      </c>
      <c r="D155" s="73">
        <v>0</v>
      </c>
      <c r="E155" s="72">
        <v>5500819</v>
      </c>
      <c r="F155" s="74">
        <v>-542930.82999999996</v>
      </c>
      <c r="G155" s="75">
        <v>465041.43</v>
      </c>
      <c r="H155" s="76">
        <v>2318537.29</v>
      </c>
      <c r="I155" s="74">
        <f t="shared" si="22"/>
        <v>2783578.72</v>
      </c>
    </row>
    <row r="156" spans="1:15">
      <c r="A156" s="25">
        <v>2011</v>
      </c>
      <c r="B156" s="28" t="s">
        <v>10</v>
      </c>
      <c r="C156" s="72">
        <v>248896</v>
      </c>
      <c r="D156" s="73">
        <v>0</v>
      </c>
      <c r="E156" s="72">
        <v>5339764</v>
      </c>
      <c r="F156" s="74">
        <v>-527034.68999999994</v>
      </c>
      <c r="G156" s="75">
        <v>447521.93</v>
      </c>
      <c r="H156" s="76">
        <v>2323164.66</v>
      </c>
      <c r="I156" s="74">
        <f t="shared" si="22"/>
        <v>2770686.5900000003</v>
      </c>
    </row>
    <row r="157" spans="1:15">
      <c r="A157" s="25">
        <v>2011</v>
      </c>
      <c r="B157" s="28" t="s">
        <v>11</v>
      </c>
      <c r="C157" s="72">
        <v>237003</v>
      </c>
      <c r="D157" s="73">
        <v>0</v>
      </c>
      <c r="E157" s="72">
        <v>5407135</v>
      </c>
      <c r="F157" s="74">
        <v>-533684.22</v>
      </c>
      <c r="G157" s="75">
        <v>488475.99</v>
      </c>
      <c r="H157" s="76">
        <v>2438065.37</v>
      </c>
      <c r="I157" s="74">
        <f t="shared" si="22"/>
        <v>2926541.3600000003</v>
      </c>
    </row>
    <row r="158" spans="1:15">
      <c r="A158" s="25">
        <v>2011</v>
      </c>
      <c r="B158" s="28" t="s">
        <v>12</v>
      </c>
      <c r="C158" s="72">
        <v>233879</v>
      </c>
      <c r="D158" s="73">
        <v>0</v>
      </c>
      <c r="E158" s="72">
        <v>4780814</v>
      </c>
      <c r="F158" s="74">
        <v>-471866.33</v>
      </c>
      <c r="G158" s="75">
        <v>498402.34</v>
      </c>
      <c r="H158" s="76">
        <v>2250885.0699999998</v>
      </c>
      <c r="I158" s="74">
        <f t="shared" si="22"/>
        <v>2749287.4099999997</v>
      </c>
    </row>
    <row r="159" spans="1:15" s="3" customFormat="1" ht="15.75" thickBot="1">
      <c r="A159" s="26">
        <v>2011</v>
      </c>
      <c r="B159" s="29" t="s">
        <v>13</v>
      </c>
      <c r="C159" s="82">
        <v>235696</v>
      </c>
      <c r="D159" s="83">
        <v>0</v>
      </c>
      <c r="E159" s="82">
        <v>4638892</v>
      </c>
      <c r="F159" s="84">
        <v>-457858.65</v>
      </c>
      <c r="G159" s="85">
        <v>494483.39</v>
      </c>
      <c r="H159" s="86">
        <v>2170289.84</v>
      </c>
      <c r="I159" s="84">
        <f t="shared" si="22"/>
        <v>2664773.23</v>
      </c>
      <c r="J159" s="5"/>
      <c r="K159" s="5"/>
      <c r="L159" s="5"/>
      <c r="M159" s="5"/>
      <c r="N159" s="5"/>
      <c r="O159" s="5"/>
    </row>
    <row r="160" spans="1:15" ht="16.5" thickTop="1" thickBot="1">
      <c r="A160" s="31">
        <v>2011</v>
      </c>
      <c r="B160" s="32" t="s">
        <v>14</v>
      </c>
      <c r="C160" s="87">
        <f t="shared" ref="C160:I160" si="23">SUM(C148:C159)</f>
        <v>2755748</v>
      </c>
      <c r="D160" s="88">
        <f t="shared" si="23"/>
        <v>0</v>
      </c>
      <c r="E160" s="87">
        <f t="shared" si="23"/>
        <v>61165074</v>
      </c>
      <c r="F160" s="89">
        <f t="shared" si="23"/>
        <v>-6036992.7800000003</v>
      </c>
      <c r="G160" s="90">
        <f t="shared" si="23"/>
        <v>5533316.8599999994</v>
      </c>
      <c r="H160" s="91">
        <f t="shared" si="23"/>
        <v>27698294</v>
      </c>
      <c r="I160" s="89">
        <f t="shared" si="23"/>
        <v>33231610.859999999</v>
      </c>
      <c r="J160" s="3"/>
      <c r="K160" s="3"/>
      <c r="L160" s="3"/>
      <c r="M160" s="3"/>
      <c r="N160" s="3"/>
      <c r="O160" s="3"/>
    </row>
    <row r="161" spans="1:15" ht="15.75" thickTop="1">
      <c r="A161" s="25">
        <v>2012</v>
      </c>
      <c r="B161" s="28" t="s">
        <v>2</v>
      </c>
      <c r="C161" s="72">
        <v>257578</v>
      </c>
      <c r="D161" s="73">
        <v>-3554.57</v>
      </c>
      <c r="E161" s="72">
        <v>5005533</v>
      </c>
      <c r="F161" s="74">
        <v>-494046.12</v>
      </c>
      <c r="G161" s="75">
        <v>524230.81</v>
      </c>
      <c r="H161" s="76">
        <v>2459823.87</v>
      </c>
      <c r="I161" s="74">
        <f t="shared" ref="I161:I172" si="24">SUM(G161:H161)</f>
        <v>2984054.68</v>
      </c>
    </row>
    <row r="162" spans="1:15">
      <c r="A162" s="25">
        <v>2012</v>
      </c>
      <c r="B162" s="28" t="s">
        <v>3</v>
      </c>
      <c r="C162" s="72">
        <v>213742</v>
      </c>
      <c r="D162" s="73">
        <v>0</v>
      </c>
      <c r="E162" s="72">
        <v>4797853</v>
      </c>
      <c r="F162" s="74">
        <v>-473548.09</v>
      </c>
      <c r="G162" s="75">
        <v>472921.89</v>
      </c>
      <c r="H162" s="76">
        <v>2296825.25</v>
      </c>
      <c r="I162" s="74">
        <f t="shared" si="24"/>
        <v>2769747.14</v>
      </c>
    </row>
    <row r="163" spans="1:15">
      <c r="A163" s="25">
        <v>2012</v>
      </c>
      <c r="B163" s="28" t="s">
        <v>4</v>
      </c>
      <c r="C163" s="72">
        <v>227236</v>
      </c>
      <c r="D163" s="73">
        <v>0</v>
      </c>
      <c r="E163" s="72">
        <v>5059027</v>
      </c>
      <c r="F163" s="74">
        <v>-499325.95</v>
      </c>
      <c r="G163" s="75">
        <v>497517.82</v>
      </c>
      <c r="H163" s="76">
        <v>2474110.2000000002</v>
      </c>
      <c r="I163" s="74">
        <f t="shared" si="24"/>
        <v>2971628.02</v>
      </c>
    </row>
    <row r="164" spans="1:15">
      <c r="A164" s="25">
        <v>2012</v>
      </c>
      <c r="B164" s="28" t="s">
        <v>5</v>
      </c>
      <c r="C164" s="72">
        <v>225111</v>
      </c>
      <c r="D164" s="73">
        <v>0</v>
      </c>
      <c r="E164" s="72">
        <v>4954191</v>
      </c>
      <c r="F164" s="74">
        <v>-488978.65</v>
      </c>
      <c r="G164" s="75">
        <v>482432.11</v>
      </c>
      <c r="H164" s="76">
        <v>2374313.5499999998</v>
      </c>
      <c r="I164" s="74">
        <f t="shared" si="24"/>
        <v>2856745.6599999997</v>
      </c>
    </row>
    <row r="165" spans="1:15">
      <c r="A165" s="25">
        <v>2012</v>
      </c>
      <c r="B165" s="28" t="s">
        <v>6</v>
      </c>
      <c r="C165" s="72">
        <v>214926</v>
      </c>
      <c r="D165" s="73">
        <v>-3675.23</v>
      </c>
      <c r="E165" s="72">
        <v>5345205</v>
      </c>
      <c r="F165" s="74">
        <v>-527571.73</v>
      </c>
      <c r="G165" s="75">
        <v>482928.53</v>
      </c>
      <c r="H165" s="76">
        <v>2307806.9500000002</v>
      </c>
      <c r="I165" s="74">
        <f t="shared" si="24"/>
        <v>2790735.4800000004</v>
      </c>
    </row>
    <row r="166" spans="1:15">
      <c r="A166" s="25">
        <v>2012</v>
      </c>
      <c r="B166" s="28" t="s">
        <v>7</v>
      </c>
      <c r="C166" s="72">
        <v>213467</v>
      </c>
      <c r="D166" s="73">
        <v>-29714.61</v>
      </c>
      <c r="E166" s="72">
        <v>4799985</v>
      </c>
      <c r="F166" s="74">
        <v>-473758.49</v>
      </c>
      <c r="G166" s="75">
        <v>434500.11</v>
      </c>
      <c r="H166" s="76">
        <v>2233872.9900000002</v>
      </c>
      <c r="I166" s="74">
        <f t="shared" si="24"/>
        <v>2668373.1</v>
      </c>
    </row>
    <row r="167" spans="1:15">
      <c r="A167" s="25">
        <v>2012</v>
      </c>
      <c r="B167" s="28" t="s">
        <v>8</v>
      </c>
      <c r="C167" s="72">
        <v>238225</v>
      </c>
      <c r="D167" s="73">
        <v>-45882.13</v>
      </c>
      <c r="E167" s="72">
        <v>5039933</v>
      </c>
      <c r="F167" s="74">
        <v>-497441.4</v>
      </c>
      <c r="G167" s="75">
        <v>462509.55</v>
      </c>
      <c r="H167" s="76">
        <v>2305161.65</v>
      </c>
      <c r="I167" s="74">
        <f t="shared" si="24"/>
        <v>2767671.1999999997</v>
      </c>
    </row>
    <row r="168" spans="1:15">
      <c r="A168" s="25">
        <v>2012</v>
      </c>
      <c r="B168" s="28" t="s">
        <v>9</v>
      </c>
      <c r="C168" s="72">
        <v>260997</v>
      </c>
      <c r="D168" s="73">
        <v>-12971.55</v>
      </c>
      <c r="E168" s="72">
        <v>5632914</v>
      </c>
      <c r="F168" s="74">
        <v>-555968.59</v>
      </c>
      <c r="G168" s="75">
        <v>496349.49</v>
      </c>
      <c r="H168" s="76">
        <v>2398223.7799999998</v>
      </c>
      <c r="I168" s="74">
        <f t="shared" si="24"/>
        <v>2894573.2699999996</v>
      </c>
    </row>
    <row r="169" spans="1:15">
      <c r="A169" s="25">
        <v>2012</v>
      </c>
      <c r="B169" s="28" t="s">
        <v>10</v>
      </c>
      <c r="C169" s="72">
        <v>235512</v>
      </c>
      <c r="D169" s="73">
        <v>-6193.96</v>
      </c>
      <c r="E169" s="72">
        <v>5290270</v>
      </c>
      <c r="F169" s="74">
        <v>-522149.67</v>
      </c>
      <c r="G169" s="75">
        <v>462278.29</v>
      </c>
      <c r="H169" s="76">
        <v>2400695.5299999998</v>
      </c>
      <c r="I169" s="74">
        <f t="shared" si="24"/>
        <v>2862973.82</v>
      </c>
    </row>
    <row r="170" spans="1:15">
      <c r="A170" s="25">
        <v>2012</v>
      </c>
      <c r="B170" s="28" t="s">
        <v>11</v>
      </c>
      <c r="C170" s="72">
        <v>252616</v>
      </c>
      <c r="D170" s="73">
        <v>0</v>
      </c>
      <c r="E170" s="72">
        <v>5223714</v>
      </c>
      <c r="F170" s="74">
        <v>-515580.59</v>
      </c>
      <c r="G170" s="75">
        <v>498771.45</v>
      </c>
      <c r="H170" s="76">
        <v>2565174.06</v>
      </c>
      <c r="I170" s="74">
        <f t="shared" si="24"/>
        <v>3063945.5100000002</v>
      </c>
    </row>
    <row r="171" spans="1:15">
      <c r="A171" s="25">
        <v>2012</v>
      </c>
      <c r="B171" s="28" t="s">
        <v>12</v>
      </c>
      <c r="C171" s="72">
        <v>296206</v>
      </c>
      <c r="D171" s="73">
        <v>-23074.46</v>
      </c>
      <c r="E171" s="72">
        <v>4747560</v>
      </c>
      <c r="F171" s="74">
        <v>-468584.17</v>
      </c>
      <c r="G171" s="75">
        <v>487275.42</v>
      </c>
      <c r="H171" s="76">
        <v>2313925.14</v>
      </c>
      <c r="I171" s="74">
        <f t="shared" si="24"/>
        <v>2801200.56</v>
      </c>
    </row>
    <row r="172" spans="1:15" s="3" customFormat="1" ht="15.75" thickBot="1">
      <c r="A172" s="25">
        <v>2012</v>
      </c>
      <c r="B172" s="28" t="s">
        <v>13</v>
      </c>
      <c r="C172" s="72">
        <v>239141</v>
      </c>
      <c r="D172" s="73">
        <v>-12291.83</v>
      </c>
      <c r="E172" s="72">
        <v>4644832</v>
      </c>
      <c r="F172" s="74">
        <v>-458444.9</v>
      </c>
      <c r="G172" s="75">
        <v>482427.38</v>
      </c>
      <c r="H172" s="76">
        <v>2397884.4500000002</v>
      </c>
      <c r="I172" s="74">
        <f t="shared" si="24"/>
        <v>2880311.83</v>
      </c>
      <c r="J172" s="5"/>
      <c r="K172" s="5"/>
      <c r="L172" s="5"/>
      <c r="M172" s="5"/>
      <c r="N172" s="5"/>
      <c r="O172" s="5"/>
    </row>
    <row r="173" spans="1:15" ht="16.5" thickTop="1" thickBot="1">
      <c r="A173" s="33">
        <v>2012</v>
      </c>
      <c r="B173" s="34" t="s">
        <v>14</v>
      </c>
      <c r="C173" s="77">
        <f t="shared" ref="C173:I173" si="25">SUM(C161:C172)</f>
        <v>2874757</v>
      </c>
      <c r="D173" s="78">
        <f t="shared" si="25"/>
        <v>-137358.34</v>
      </c>
      <c r="E173" s="77">
        <f t="shared" si="25"/>
        <v>60541017</v>
      </c>
      <c r="F173" s="79">
        <f t="shared" si="25"/>
        <v>-5975398.3500000006</v>
      </c>
      <c r="G173" s="80">
        <f t="shared" si="25"/>
        <v>5784142.8499999996</v>
      </c>
      <c r="H173" s="81">
        <f t="shared" si="25"/>
        <v>28527817.420000002</v>
      </c>
      <c r="I173" s="79">
        <f t="shared" si="25"/>
        <v>34311960.270000003</v>
      </c>
      <c r="J173" s="3"/>
      <c r="K173" s="3"/>
      <c r="L173" s="3"/>
      <c r="M173" s="3"/>
      <c r="N173" s="3"/>
      <c r="O173" s="3"/>
    </row>
    <row r="174" spans="1:15" ht="15.75" thickTop="1">
      <c r="A174" s="25">
        <v>2013</v>
      </c>
      <c r="B174" s="28" t="s">
        <v>2</v>
      </c>
      <c r="C174" s="72">
        <v>231212</v>
      </c>
      <c r="D174" s="73">
        <v>0</v>
      </c>
      <c r="E174" s="72">
        <v>4840000</v>
      </c>
      <c r="F174" s="74">
        <v>-477707.99</v>
      </c>
      <c r="G174" s="75">
        <v>494856.18</v>
      </c>
      <c r="H174" s="76">
        <v>2520452</v>
      </c>
      <c r="I174" s="74">
        <f t="shared" ref="I174:I185" si="26">SUM(G174:H174)</f>
        <v>3015308.18</v>
      </c>
    </row>
    <row r="175" spans="1:15">
      <c r="A175" s="25">
        <v>2013</v>
      </c>
      <c r="B175" s="28" t="s">
        <v>3</v>
      </c>
      <c r="C175" s="72">
        <v>193665</v>
      </c>
      <c r="D175" s="73">
        <v>0</v>
      </c>
      <c r="E175" s="72">
        <v>4444055</v>
      </c>
      <c r="F175" s="74">
        <v>-438628.23</v>
      </c>
      <c r="G175" s="75">
        <v>420775.41</v>
      </c>
      <c r="H175" s="76">
        <v>2377053.04</v>
      </c>
      <c r="I175" s="74">
        <f t="shared" si="26"/>
        <v>2797828.45</v>
      </c>
    </row>
    <row r="176" spans="1:15">
      <c r="A176" s="25">
        <v>2013</v>
      </c>
      <c r="B176" s="28" t="s">
        <v>4</v>
      </c>
      <c r="C176" s="72">
        <v>223075</v>
      </c>
      <c r="D176" s="73">
        <v>0</v>
      </c>
      <c r="E176" s="72">
        <v>4858452</v>
      </c>
      <c r="F176" s="74">
        <v>-479529.22</v>
      </c>
      <c r="G176" s="75">
        <v>452905.64</v>
      </c>
      <c r="H176" s="76">
        <v>2621255.63</v>
      </c>
      <c r="I176" s="74">
        <f t="shared" si="26"/>
        <v>3074161.27</v>
      </c>
    </row>
    <row r="177" spans="1:15">
      <c r="A177" s="25">
        <v>2013</v>
      </c>
      <c r="B177" s="28" t="s">
        <v>5</v>
      </c>
      <c r="C177" s="72">
        <v>196655</v>
      </c>
      <c r="D177" s="73">
        <v>0</v>
      </c>
      <c r="E177" s="72">
        <v>4928946</v>
      </c>
      <c r="F177" s="74">
        <v>-486486.97</v>
      </c>
      <c r="G177" s="75">
        <v>429473.1</v>
      </c>
      <c r="H177" s="76">
        <v>2607855.89</v>
      </c>
      <c r="I177" s="74">
        <f t="shared" si="26"/>
        <v>3037328.99</v>
      </c>
    </row>
    <row r="178" spans="1:15">
      <c r="A178" s="25">
        <v>2013</v>
      </c>
      <c r="B178" s="28" t="s">
        <v>6</v>
      </c>
      <c r="C178" s="72">
        <v>218302</v>
      </c>
      <c r="D178" s="73">
        <v>0</v>
      </c>
      <c r="E178" s="72">
        <v>5111275</v>
      </c>
      <c r="F178" s="74">
        <v>-504482.85</v>
      </c>
      <c r="G178" s="75">
        <v>423967.97</v>
      </c>
      <c r="H178" s="76">
        <v>2502677.36</v>
      </c>
      <c r="I178" s="74">
        <f t="shared" si="26"/>
        <v>2926645.33</v>
      </c>
    </row>
    <row r="179" spans="1:15">
      <c r="A179" s="25">
        <v>2013</v>
      </c>
      <c r="B179" s="28" t="s">
        <v>7</v>
      </c>
      <c r="C179" s="72">
        <v>217597</v>
      </c>
      <c r="D179" s="73">
        <v>0</v>
      </c>
      <c r="E179" s="72">
        <v>4567630</v>
      </c>
      <c r="F179" s="74">
        <v>-450825.09</v>
      </c>
      <c r="G179" s="75">
        <v>415356.25</v>
      </c>
      <c r="H179" s="76">
        <v>2440078.5699999998</v>
      </c>
      <c r="I179" s="74">
        <f t="shared" si="26"/>
        <v>2855434.82</v>
      </c>
    </row>
    <row r="180" spans="1:15">
      <c r="A180" s="25">
        <v>2013</v>
      </c>
      <c r="B180" s="28" t="s">
        <v>8</v>
      </c>
      <c r="C180" s="72">
        <v>255616</v>
      </c>
      <c r="D180" s="73">
        <v>0</v>
      </c>
      <c r="E180" s="72">
        <v>5057141</v>
      </c>
      <c r="F180" s="74">
        <v>-499139.83</v>
      </c>
      <c r="G180" s="75">
        <v>464554.44</v>
      </c>
      <c r="H180" s="76">
        <v>2593233.12</v>
      </c>
      <c r="I180" s="74">
        <f t="shared" si="26"/>
        <v>3057787.56</v>
      </c>
    </row>
    <row r="181" spans="1:15">
      <c r="A181" s="25">
        <v>2013</v>
      </c>
      <c r="B181" s="28" t="s">
        <v>9</v>
      </c>
      <c r="C181" s="72">
        <v>216894</v>
      </c>
      <c r="D181" s="73">
        <v>0</v>
      </c>
      <c r="E181" s="72">
        <v>5072607</v>
      </c>
      <c r="F181" s="74">
        <v>-500666.31</v>
      </c>
      <c r="G181" s="75">
        <v>478528.59</v>
      </c>
      <c r="H181" s="76">
        <v>2803264.24</v>
      </c>
      <c r="I181" s="74">
        <f t="shared" si="26"/>
        <v>3281792.83</v>
      </c>
    </row>
    <row r="182" spans="1:15">
      <c r="A182" s="25">
        <v>2013</v>
      </c>
      <c r="B182" s="28" t="s">
        <v>10</v>
      </c>
      <c r="C182" s="72">
        <v>217333</v>
      </c>
      <c r="D182" s="73">
        <v>0</v>
      </c>
      <c r="E182" s="72">
        <v>5059632</v>
      </c>
      <c r="F182" s="74">
        <v>-499385.68</v>
      </c>
      <c r="G182" s="75">
        <v>473603.56</v>
      </c>
      <c r="H182" s="76">
        <v>2766210.74</v>
      </c>
      <c r="I182" s="74">
        <f t="shared" si="26"/>
        <v>3239814.3000000003</v>
      </c>
    </row>
    <row r="183" spans="1:15">
      <c r="A183" s="25">
        <v>2013</v>
      </c>
      <c r="B183" s="28" t="s">
        <v>11</v>
      </c>
      <c r="C183" s="72">
        <v>216660</v>
      </c>
      <c r="D183" s="73">
        <v>0</v>
      </c>
      <c r="E183" s="72">
        <v>4861924</v>
      </c>
      <c r="F183" s="74">
        <v>-479871.9</v>
      </c>
      <c r="G183" s="75">
        <v>517258.72</v>
      </c>
      <c r="H183" s="76">
        <v>2739632.78</v>
      </c>
      <c r="I183" s="74">
        <f t="shared" si="26"/>
        <v>3256891.5</v>
      </c>
    </row>
    <row r="184" spans="1:15">
      <c r="A184" s="25">
        <v>2013</v>
      </c>
      <c r="B184" s="28" t="s">
        <v>12</v>
      </c>
      <c r="C184" s="72">
        <v>231815</v>
      </c>
      <c r="D184" s="73">
        <v>0</v>
      </c>
      <c r="E184" s="72">
        <v>4256925</v>
      </c>
      <c r="F184" s="74">
        <v>-420158.5</v>
      </c>
      <c r="G184" s="75">
        <v>512654.56</v>
      </c>
      <c r="H184" s="76">
        <v>2538857.75</v>
      </c>
      <c r="I184" s="74">
        <f t="shared" si="26"/>
        <v>3051512.31</v>
      </c>
    </row>
    <row r="185" spans="1:15" s="3" customFormat="1" ht="15.75" thickBot="1">
      <c r="A185" s="26">
        <v>2013</v>
      </c>
      <c r="B185" s="29" t="s">
        <v>13</v>
      </c>
      <c r="C185" s="82">
        <v>245167</v>
      </c>
      <c r="D185" s="83">
        <v>0</v>
      </c>
      <c r="E185" s="82">
        <v>4284930</v>
      </c>
      <c r="F185" s="84">
        <v>-422922.61</v>
      </c>
      <c r="G185" s="85">
        <v>532538.41</v>
      </c>
      <c r="H185" s="86">
        <v>2531208.63</v>
      </c>
      <c r="I185" s="84">
        <f t="shared" si="26"/>
        <v>3063747.04</v>
      </c>
      <c r="J185" s="5"/>
      <c r="K185" s="5"/>
      <c r="L185" s="5"/>
      <c r="M185" s="5"/>
      <c r="N185" s="5"/>
      <c r="O185" s="5"/>
    </row>
    <row r="186" spans="1:15" ht="16.5" thickTop="1" thickBot="1">
      <c r="A186" s="31">
        <v>2013</v>
      </c>
      <c r="B186" s="32" t="s">
        <v>14</v>
      </c>
      <c r="C186" s="87">
        <f t="shared" ref="C186:I186" si="27">SUM(C174:C185)</f>
        <v>2663991</v>
      </c>
      <c r="D186" s="88">
        <f t="shared" si="27"/>
        <v>0</v>
      </c>
      <c r="E186" s="87">
        <f t="shared" si="27"/>
        <v>57343517</v>
      </c>
      <c r="F186" s="89">
        <f t="shared" si="27"/>
        <v>-5659805.1800000006</v>
      </c>
      <c r="G186" s="90">
        <f t="shared" si="27"/>
        <v>5616472.8299999991</v>
      </c>
      <c r="H186" s="91">
        <f t="shared" si="27"/>
        <v>31041779.750000004</v>
      </c>
      <c r="I186" s="89">
        <f t="shared" si="27"/>
        <v>36658252.579999998</v>
      </c>
      <c r="J186" s="3"/>
      <c r="K186" s="3"/>
      <c r="L186" s="3"/>
      <c r="M186" s="3"/>
      <c r="N186" s="3"/>
      <c r="O186" s="3"/>
    </row>
    <row r="187" spans="1:15" ht="15.75" thickTop="1">
      <c r="A187" s="25">
        <v>2014</v>
      </c>
      <c r="B187" s="28" t="s">
        <v>2</v>
      </c>
      <c r="C187" s="72">
        <v>287228</v>
      </c>
      <c r="D187" s="73">
        <v>0</v>
      </c>
      <c r="E187" s="72">
        <v>4552507</v>
      </c>
      <c r="F187" s="74">
        <v>-449332.41</v>
      </c>
      <c r="G187" s="75">
        <v>511696.47</v>
      </c>
      <c r="H187" s="76">
        <v>2605636.6</v>
      </c>
      <c r="I187" s="74">
        <f t="shared" ref="I187:I198" si="28">SUM(G187:H187)</f>
        <v>3117333.0700000003</v>
      </c>
    </row>
    <row r="188" spans="1:15">
      <c r="A188" s="25">
        <v>2014</v>
      </c>
      <c r="B188" s="28" t="s">
        <v>3</v>
      </c>
      <c r="C188" s="72">
        <v>291982</v>
      </c>
      <c r="D188" s="73">
        <v>0</v>
      </c>
      <c r="E188" s="72">
        <v>4202011</v>
      </c>
      <c r="F188" s="74">
        <v>-414738.49</v>
      </c>
      <c r="G188" s="75">
        <v>485862.9</v>
      </c>
      <c r="H188" s="76">
        <v>2474924.63</v>
      </c>
      <c r="I188" s="74">
        <f t="shared" si="28"/>
        <v>2960787.53</v>
      </c>
    </row>
    <row r="189" spans="1:15">
      <c r="A189" s="25">
        <v>2014</v>
      </c>
      <c r="B189" s="28" t="s">
        <v>4</v>
      </c>
      <c r="C189" s="72">
        <v>335583</v>
      </c>
      <c r="D189" s="73">
        <v>0</v>
      </c>
      <c r="E189" s="72">
        <v>4638728</v>
      </c>
      <c r="F189" s="74">
        <v>-457842.43</v>
      </c>
      <c r="G189" s="75">
        <v>533189.81000000006</v>
      </c>
      <c r="H189" s="76">
        <v>2720162.95</v>
      </c>
      <c r="I189" s="74">
        <f t="shared" si="28"/>
        <v>3253352.7600000002</v>
      </c>
    </row>
    <row r="190" spans="1:15">
      <c r="A190" s="25">
        <v>2014</v>
      </c>
      <c r="B190" s="28" t="s">
        <v>5</v>
      </c>
      <c r="C190" s="72">
        <v>320017</v>
      </c>
      <c r="D190" s="73">
        <v>0</v>
      </c>
      <c r="E190" s="72">
        <v>4505487</v>
      </c>
      <c r="F190" s="74">
        <v>-444691.58</v>
      </c>
      <c r="G190" s="75">
        <v>522486.92</v>
      </c>
      <c r="H190" s="76">
        <v>2612531.16</v>
      </c>
      <c r="I190" s="74">
        <f t="shared" si="28"/>
        <v>3135018.08</v>
      </c>
    </row>
    <row r="191" spans="1:15">
      <c r="A191" s="25">
        <v>2014</v>
      </c>
      <c r="B191" s="28" t="s">
        <v>6</v>
      </c>
      <c r="C191" s="72">
        <v>350905</v>
      </c>
      <c r="D191" s="73">
        <v>0</v>
      </c>
      <c r="E191" s="72">
        <v>4729315</v>
      </c>
      <c r="F191" s="74">
        <v>-466783.38</v>
      </c>
      <c r="G191" s="75">
        <v>535599.56000000006</v>
      </c>
      <c r="H191" s="76">
        <v>2583829.54</v>
      </c>
      <c r="I191" s="74">
        <f t="shared" si="28"/>
        <v>3119429.1</v>
      </c>
    </row>
    <row r="192" spans="1:15">
      <c r="A192" s="25">
        <v>2014</v>
      </c>
      <c r="B192" s="28" t="s">
        <v>7</v>
      </c>
      <c r="C192" s="72">
        <v>310149</v>
      </c>
      <c r="D192" s="73">
        <v>0</v>
      </c>
      <c r="E192" s="72">
        <v>4278497</v>
      </c>
      <c r="F192" s="74">
        <v>-422287.66</v>
      </c>
      <c r="G192" s="75">
        <v>529200.48</v>
      </c>
      <c r="H192" s="76">
        <v>2510632.66</v>
      </c>
      <c r="I192" s="74">
        <f t="shared" si="28"/>
        <v>3039833.14</v>
      </c>
    </row>
    <row r="193" spans="1:21">
      <c r="A193" s="25">
        <v>2014</v>
      </c>
      <c r="B193" s="28" t="s">
        <v>8</v>
      </c>
      <c r="C193" s="72">
        <v>337750</v>
      </c>
      <c r="D193" s="73">
        <v>0</v>
      </c>
      <c r="E193" s="72">
        <v>4440944</v>
      </c>
      <c r="F193" s="74">
        <v>-438321.17</v>
      </c>
      <c r="G193" s="75">
        <v>551094.46</v>
      </c>
      <c r="H193" s="76">
        <v>2489467.73</v>
      </c>
      <c r="I193" s="74">
        <f t="shared" si="28"/>
        <v>3040562.19</v>
      </c>
    </row>
    <row r="194" spans="1:21">
      <c r="A194" s="25">
        <v>2014</v>
      </c>
      <c r="B194" s="28" t="s">
        <v>9</v>
      </c>
      <c r="C194" s="72">
        <v>341500</v>
      </c>
      <c r="D194" s="73">
        <v>0</v>
      </c>
      <c r="E194" s="72">
        <v>4701527</v>
      </c>
      <c r="F194" s="74">
        <v>-464040.7</v>
      </c>
      <c r="G194" s="75">
        <v>567686.07999999996</v>
      </c>
      <c r="H194" s="76">
        <v>2644743.64</v>
      </c>
      <c r="I194" s="74">
        <f t="shared" si="28"/>
        <v>3212429.72</v>
      </c>
    </row>
    <row r="195" spans="1:21">
      <c r="A195" s="25">
        <v>2014</v>
      </c>
      <c r="B195" s="28" t="s">
        <v>10</v>
      </c>
      <c r="C195" s="72">
        <v>330275</v>
      </c>
      <c r="D195" s="73">
        <v>-32003.67</v>
      </c>
      <c r="E195" s="72">
        <v>4650491</v>
      </c>
      <c r="F195" s="74">
        <v>-459003.46</v>
      </c>
      <c r="G195" s="75">
        <v>553049.80000000005</v>
      </c>
      <c r="H195" s="76">
        <v>2589557.61</v>
      </c>
      <c r="I195" s="74">
        <f t="shared" si="28"/>
        <v>3142607.41</v>
      </c>
    </row>
    <row r="196" spans="1:21">
      <c r="A196" s="25">
        <v>2014</v>
      </c>
      <c r="B196" s="28" t="s">
        <v>11</v>
      </c>
      <c r="C196" s="72">
        <v>382948</v>
      </c>
      <c r="D196" s="73">
        <v>0</v>
      </c>
      <c r="E196" s="72">
        <v>4739775</v>
      </c>
      <c r="F196" s="74">
        <v>-467815.8</v>
      </c>
      <c r="G196" s="75">
        <v>578705.93000000005</v>
      </c>
      <c r="H196" s="76">
        <v>2695795.78</v>
      </c>
      <c r="I196" s="74">
        <f t="shared" si="28"/>
        <v>3274501.71</v>
      </c>
    </row>
    <row r="197" spans="1:21">
      <c r="A197" s="25">
        <v>2014</v>
      </c>
      <c r="B197" s="28" t="s">
        <v>12</v>
      </c>
      <c r="C197" s="72">
        <v>331446</v>
      </c>
      <c r="D197" s="73">
        <v>0</v>
      </c>
      <c r="E197" s="72">
        <v>4339017</v>
      </c>
      <c r="F197" s="74">
        <v>-428260.98</v>
      </c>
      <c r="G197" s="75">
        <v>572459.80000000005</v>
      </c>
      <c r="H197" s="76">
        <v>2511285.67</v>
      </c>
      <c r="I197" s="74">
        <f t="shared" si="28"/>
        <v>3083745.4699999997</v>
      </c>
    </row>
    <row r="198" spans="1:21" s="3" customFormat="1" ht="15.75" thickBot="1">
      <c r="A198" s="25">
        <v>2014</v>
      </c>
      <c r="B198" s="28" t="s">
        <v>13</v>
      </c>
      <c r="C198" s="72">
        <v>354200</v>
      </c>
      <c r="D198" s="73">
        <v>-70308.710000000006</v>
      </c>
      <c r="E198" s="72">
        <v>4337637</v>
      </c>
      <c r="F198" s="74">
        <v>-428124.76</v>
      </c>
      <c r="G198" s="75">
        <v>577222.17000000004</v>
      </c>
      <c r="H198" s="76">
        <v>2547602.61</v>
      </c>
      <c r="I198" s="74">
        <f t="shared" si="28"/>
        <v>3124824.78</v>
      </c>
      <c r="J198" s="5"/>
      <c r="K198" s="5"/>
      <c r="L198" s="5"/>
      <c r="M198" s="5"/>
      <c r="N198" s="5"/>
      <c r="O198" s="5"/>
    </row>
    <row r="199" spans="1:21" ht="16.5" thickTop="1" thickBot="1">
      <c r="A199" s="33">
        <v>2014</v>
      </c>
      <c r="B199" s="34" t="s">
        <v>14</v>
      </c>
      <c r="C199" s="77">
        <f t="shared" ref="C199:I199" si="29">SUM(C187:C198)</f>
        <v>3973983</v>
      </c>
      <c r="D199" s="78">
        <f t="shared" si="29"/>
        <v>-102312.38</v>
      </c>
      <c r="E199" s="77">
        <f t="shared" si="29"/>
        <v>54115936</v>
      </c>
      <c r="F199" s="79">
        <f t="shared" si="29"/>
        <v>-5341242.82</v>
      </c>
      <c r="G199" s="80">
        <f t="shared" si="29"/>
        <v>6518254.379999999</v>
      </c>
      <c r="H199" s="81">
        <f t="shared" si="29"/>
        <v>30986170.579999998</v>
      </c>
      <c r="I199" s="79">
        <f t="shared" si="29"/>
        <v>37504424.960000001</v>
      </c>
      <c r="J199" s="3"/>
      <c r="K199" s="3"/>
      <c r="L199" s="3"/>
      <c r="M199" s="3"/>
      <c r="N199" s="3"/>
      <c r="O199" s="3"/>
    </row>
    <row r="200" spans="1:21" ht="21.75" customHeight="1" thickTop="1">
      <c r="A200" s="239" t="s">
        <v>45</v>
      </c>
      <c r="B200" s="239"/>
      <c r="C200" s="239"/>
      <c r="D200" s="239"/>
      <c r="E200" s="239"/>
    </row>
    <row r="201" spans="1:21">
      <c r="A201" s="2" t="s">
        <v>38</v>
      </c>
      <c r="B201" s="10"/>
      <c r="C201" s="37"/>
      <c r="D201" s="37"/>
      <c r="E201" s="37"/>
      <c r="F201" s="37"/>
      <c r="G201" s="37"/>
      <c r="H201" s="37"/>
      <c r="I201" s="37"/>
    </row>
    <row r="202" spans="1:21">
      <c r="A202" s="221" t="s">
        <v>34</v>
      </c>
      <c r="B202" s="221"/>
      <c r="C202" s="221"/>
      <c r="D202" s="221"/>
      <c r="E202" s="221"/>
      <c r="F202" s="221"/>
      <c r="G202" s="221"/>
      <c r="H202" s="221"/>
      <c r="I202" s="221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>
      <c r="A203" s="221" t="s">
        <v>35</v>
      </c>
      <c r="B203" s="221"/>
      <c r="C203" s="221"/>
      <c r="D203" s="221"/>
      <c r="E203" s="221"/>
      <c r="F203" s="221"/>
      <c r="G203" s="221"/>
      <c r="H203" s="221"/>
      <c r="I203" s="221"/>
      <c r="J203" s="36"/>
      <c r="K203" s="36"/>
      <c r="L203" s="36"/>
      <c r="M203" s="36"/>
      <c r="N203" s="36"/>
      <c r="O203" s="36"/>
    </row>
  </sheetData>
  <mergeCells count="10">
    <mergeCell ref="A1:O1"/>
    <mergeCell ref="A202:I202"/>
    <mergeCell ref="A203:I203"/>
    <mergeCell ref="C2:F2"/>
    <mergeCell ref="C3:D3"/>
    <mergeCell ref="E3:F3"/>
    <mergeCell ref="G2:I2"/>
    <mergeCell ref="A2:A4"/>
    <mergeCell ref="B2:B4"/>
    <mergeCell ref="A200:E2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K190"/>
  <sheetViews>
    <sheetView tabSelected="1" workbookViewId="0">
      <selection activeCell="P16" sqref="P16"/>
    </sheetView>
    <sheetView topLeftCell="A10" workbookViewId="1">
      <selection activeCell="Q12" sqref="Q12"/>
    </sheetView>
  </sheetViews>
  <sheetFormatPr defaultRowHeight="15"/>
  <cols>
    <col min="1" max="1" width="9.140625" style="5"/>
    <col min="2" max="2" width="12" style="5" customWidth="1"/>
    <col min="3" max="16384" width="9.140625" style="5"/>
  </cols>
  <sheetData>
    <row r="1" spans="1:15" ht="22.5" customHeight="1" thickBot="1">
      <c r="A1" s="219" t="s">
        <v>56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67"/>
      <c r="N1" s="267"/>
      <c r="O1" s="267"/>
    </row>
    <row r="2" spans="1:15" ht="20.25" customHeight="1" thickBot="1">
      <c r="A2" s="261" t="s">
        <v>36</v>
      </c>
      <c r="B2" s="237" t="s">
        <v>37</v>
      </c>
      <c r="C2" s="268" t="s">
        <v>54</v>
      </c>
      <c r="D2" s="269"/>
      <c r="E2" s="269"/>
      <c r="F2" s="269"/>
      <c r="G2" s="269"/>
      <c r="H2" s="269"/>
      <c r="I2" s="269"/>
      <c r="J2" s="269"/>
      <c r="K2" s="269"/>
      <c r="L2" s="270"/>
      <c r="M2" s="216"/>
      <c r="N2" s="217"/>
      <c r="O2" s="217"/>
    </row>
    <row r="3" spans="1:15" ht="18" customHeight="1">
      <c r="A3" s="262"/>
      <c r="B3" s="264"/>
      <c r="C3" s="271" t="s">
        <v>19</v>
      </c>
      <c r="D3" s="272"/>
      <c r="E3" s="272"/>
      <c r="F3" s="272"/>
      <c r="G3" s="272"/>
      <c r="H3" s="271" t="s">
        <v>15</v>
      </c>
      <c r="I3" s="272"/>
      <c r="J3" s="272"/>
      <c r="K3" s="272"/>
      <c r="L3" s="273"/>
    </row>
    <row r="4" spans="1:15" ht="19.5" customHeight="1" thickBot="1">
      <c r="A4" s="263"/>
      <c r="B4" s="265"/>
      <c r="C4" s="195" t="s">
        <v>20</v>
      </c>
      <c r="D4" s="193" t="s">
        <v>21</v>
      </c>
      <c r="E4" s="193" t="s">
        <v>22</v>
      </c>
      <c r="F4" s="193" t="s">
        <v>23</v>
      </c>
      <c r="G4" s="202" t="s">
        <v>24</v>
      </c>
      <c r="H4" s="195" t="s">
        <v>20</v>
      </c>
      <c r="I4" s="193" t="s">
        <v>21</v>
      </c>
      <c r="J4" s="193" t="s">
        <v>22</v>
      </c>
      <c r="K4" s="193" t="s">
        <v>23</v>
      </c>
      <c r="L4" s="194" t="s">
        <v>24</v>
      </c>
    </row>
    <row r="5" spans="1:15">
      <c r="A5" s="168">
        <f>+'Pool Lbs &amp; Component Lbs'!A5</f>
        <v>2000</v>
      </c>
      <c r="B5" s="169" t="str">
        <f>+'Pool Lbs &amp; Component Lbs'!B5</f>
        <v>JANUARY</v>
      </c>
      <c r="C5" s="196">
        <f>+'Pool Lbs &amp; Component Lbs'!I5/'Pool Lbs &amp; Component Lbs'!N5</f>
        <v>0.12212224484415656</v>
      </c>
      <c r="D5" s="174">
        <f>+'Pool Lbs &amp; Component Lbs'!J5/'Pool Lbs &amp; Component Lbs'!N5</f>
        <v>3.7360757135547672E-2</v>
      </c>
      <c r="E5" s="174">
        <f>+'Pool Lbs &amp; Component Lbs'!K5/'Pool Lbs &amp; Component Lbs'!N5</f>
        <v>5.8088086603986781E-2</v>
      </c>
      <c r="F5" s="174">
        <f>+'Pool Lbs &amp; Component Lbs'!L5/'Pool Lbs &amp; Component Lbs'!N5</f>
        <v>0.42985617975059148</v>
      </c>
      <c r="G5" s="203">
        <f>+'Pool Lbs &amp; Component Lbs'!M5/'Pool Lbs &amp; Component Lbs'!N5</f>
        <v>0.35257273166571751</v>
      </c>
      <c r="H5" s="209">
        <f>+'Pool Lbs &amp; Component Lbs'!P5/'Pool Lbs &amp; Component Lbs'!$U5</f>
        <v>0.22730359950241347</v>
      </c>
      <c r="I5" s="175">
        <f>+'Pool Lbs &amp; Component Lbs'!Q5/'Pool Lbs &amp; Component Lbs'!$U5</f>
        <v>3.8604125486514054E-2</v>
      </c>
      <c r="J5" s="175">
        <f>+'Pool Lbs &amp; Component Lbs'!R5/'Pool Lbs &amp; Component Lbs'!$U5</f>
        <v>2.2620002320407402E-2</v>
      </c>
      <c r="K5" s="175">
        <f>+'Pool Lbs &amp; Component Lbs'!S5/'Pool Lbs &amp; Component Lbs'!$U5</f>
        <v>0.32774507260197777</v>
      </c>
      <c r="L5" s="176">
        <f>+'Pool Lbs &amp; Component Lbs'!T5/'Pool Lbs &amp; Component Lbs'!$U5</f>
        <v>0.38372720008868733</v>
      </c>
      <c r="M5" s="177"/>
    </row>
    <row r="6" spans="1:15">
      <c r="A6" s="162">
        <f>+'Pool Lbs &amp; Component Lbs'!A6</f>
        <v>2000</v>
      </c>
      <c r="B6" s="163" t="str">
        <f>+'Pool Lbs &amp; Component Lbs'!B6</f>
        <v>FEBRUARY</v>
      </c>
      <c r="C6" s="197">
        <f>+'Pool Lbs &amp; Component Lbs'!I6/'Pool Lbs &amp; Component Lbs'!N6</f>
        <v>0.12283387407746034</v>
      </c>
      <c r="D6" s="178">
        <f>+'Pool Lbs &amp; Component Lbs'!J6/'Pool Lbs &amp; Component Lbs'!N6</f>
        <v>4.3156796099060341E-2</v>
      </c>
      <c r="E6" s="178">
        <f>+'Pool Lbs &amp; Component Lbs'!K6/'Pool Lbs &amp; Component Lbs'!N6</f>
        <v>9.1339229971278399E-2</v>
      </c>
      <c r="F6" s="178">
        <f>+'Pool Lbs &amp; Component Lbs'!L6/'Pool Lbs &amp; Component Lbs'!N6</f>
        <v>0.39948867729492982</v>
      </c>
      <c r="G6" s="204">
        <f>+'Pool Lbs &amp; Component Lbs'!M6/'Pool Lbs &amp; Component Lbs'!N6</f>
        <v>0.34318142255727113</v>
      </c>
      <c r="H6" s="210">
        <f>+'Pool Lbs &amp; Component Lbs'!P6/'Pool Lbs &amp; Component Lbs'!$U6</f>
        <v>0.22655767802002336</v>
      </c>
      <c r="I6" s="179">
        <f>+'Pool Lbs &amp; Component Lbs'!Q6/'Pool Lbs &amp; Component Lbs'!$U6</f>
        <v>4.3283713462573203E-2</v>
      </c>
      <c r="J6" s="179">
        <f>+'Pool Lbs &amp; Component Lbs'!R6/'Pool Lbs &amp; Component Lbs'!$U6</f>
        <v>3.1697316200523455E-2</v>
      </c>
      <c r="K6" s="179">
        <f>+'Pool Lbs &amp; Component Lbs'!S6/'Pool Lbs &amp; Component Lbs'!$U6</f>
        <v>0.32230198067764709</v>
      </c>
      <c r="L6" s="180">
        <f>+'Pool Lbs &amp; Component Lbs'!T6/'Pool Lbs &amp; Component Lbs'!$U6</f>
        <v>0.37615931163923289</v>
      </c>
    </row>
    <row r="7" spans="1:15">
      <c r="A7" s="162">
        <f>+'Pool Lbs &amp; Component Lbs'!A7</f>
        <v>2000</v>
      </c>
      <c r="B7" s="163" t="str">
        <f>+'Pool Lbs &amp; Component Lbs'!B7</f>
        <v>MARCH</v>
      </c>
      <c r="C7" s="197">
        <f>+'Pool Lbs &amp; Component Lbs'!I7/'Pool Lbs &amp; Component Lbs'!N7</f>
        <v>0.12395836210183207</v>
      </c>
      <c r="D7" s="178">
        <f>+'Pool Lbs &amp; Component Lbs'!J7/'Pool Lbs &amp; Component Lbs'!N7</f>
        <v>4.7043637963561702E-2</v>
      </c>
      <c r="E7" s="178">
        <f>+'Pool Lbs &amp; Component Lbs'!K7/'Pool Lbs &amp; Component Lbs'!N7</f>
        <v>0.10508062203128933</v>
      </c>
      <c r="F7" s="178">
        <f>+'Pool Lbs &amp; Component Lbs'!L7/'Pool Lbs &amp; Component Lbs'!N7</f>
        <v>0.36352472202090885</v>
      </c>
      <c r="G7" s="204">
        <f>+'Pool Lbs &amp; Component Lbs'!M7/'Pool Lbs &amp; Component Lbs'!N7</f>
        <v>0.36039265588240804</v>
      </c>
      <c r="H7" s="210">
        <f>+'Pool Lbs &amp; Component Lbs'!P7/'Pool Lbs &amp; Component Lbs'!$U7</f>
        <v>0.22961210231199325</v>
      </c>
      <c r="I7" s="179">
        <f>+'Pool Lbs &amp; Component Lbs'!Q7/'Pool Lbs &amp; Component Lbs'!$U7</f>
        <v>4.1510216316873016E-2</v>
      </c>
      <c r="J7" s="179">
        <f>+'Pool Lbs &amp; Component Lbs'!R7/'Pool Lbs &amp; Component Lbs'!$U7</f>
        <v>3.2930073730613636E-2</v>
      </c>
      <c r="K7" s="179">
        <f>+'Pool Lbs &amp; Component Lbs'!S7/'Pool Lbs &amp; Component Lbs'!$U7</f>
        <v>0.3087855253681282</v>
      </c>
      <c r="L7" s="180">
        <f>+'Pool Lbs &amp; Component Lbs'!T7/'Pool Lbs &amp; Component Lbs'!$U7</f>
        <v>0.38716208227239191</v>
      </c>
    </row>
    <row r="8" spans="1:15">
      <c r="A8" s="162">
        <f>+'Pool Lbs &amp; Component Lbs'!A8</f>
        <v>2000</v>
      </c>
      <c r="B8" s="163" t="str">
        <f>+'Pool Lbs &amp; Component Lbs'!B8</f>
        <v>APRIL</v>
      </c>
      <c r="C8" s="197">
        <f>+'Pool Lbs &amp; Component Lbs'!I8/'Pool Lbs &amp; Component Lbs'!N8</f>
        <v>0.11797874719806072</v>
      </c>
      <c r="D8" s="178">
        <f>+'Pool Lbs &amp; Component Lbs'!J8/'Pool Lbs &amp; Component Lbs'!N8</f>
        <v>4.8861411519567938E-2</v>
      </c>
      <c r="E8" s="178">
        <f>+'Pool Lbs &amp; Component Lbs'!K8/'Pool Lbs &amp; Component Lbs'!N8</f>
        <v>0.11884007114417797</v>
      </c>
      <c r="F8" s="178">
        <f>+'Pool Lbs &amp; Component Lbs'!L8/'Pool Lbs &amp; Component Lbs'!N8</f>
        <v>0.34328717636881828</v>
      </c>
      <c r="G8" s="204">
        <f>+'Pool Lbs &amp; Component Lbs'!M8/'Pool Lbs &amp; Component Lbs'!N8</f>
        <v>0.37103259376937509</v>
      </c>
      <c r="H8" s="210">
        <f>+'Pool Lbs &amp; Component Lbs'!P8/'Pool Lbs &amp; Component Lbs'!$U8</f>
        <v>0.2082083228253877</v>
      </c>
      <c r="I8" s="179">
        <f>+'Pool Lbs &amp; Component Lbs'!Q8/'Pool Lbs &amp; Component Lbs'!$U8</f>
        <v>4.0643513131732263E-2</v>
      </c>
      <c r="J8" s="179">
        <f>+'Pool Lbs &amp; Component Lbs'!R8/'Pool Lbs &amp; Component Lbs'!$U8</f>
        <v>3.5143229835049923E-2</v>
      </c>
      <c r="K8" s="179">
        <f>+'Pool Lbs &amp; Component Lbs'!S8/'Pool Lbs &amp; Component Lbs'!$U8</f>
        <v>0.31740333270339516</v>
      </c>
      <c r="L8" s="180">
        <f>+'Pool Lbs &amp; Component Lbs'!T8/'Pool Lbs &amp; Component Lbs'!$U8</f>
        <v>0.39860160150443491</v>
      </c>
    </row>
    <row r="9" spans="1:15">
      <c r="A9" s="162">
        <f>+'Pool Lbs &amp; Component Lbs'!A9</f>
        <v>2000</v>
      </c>
      <c r="B9" s="163" t="str">
        <f>+'Pool Lbs &amp; Component Lbs'!B9</f>
        <v>MAY</v>
      </c>
      <c r="C9" s="197">
        <f>+'Pool Lbs &amp; Component Lbs'!I9/'Pool Lbs &amp; Component Lbs'!N9</f>
        <v>0.12468610624877449</v>
      </c>
      <c r="D9" s="178">
        <f>+'Pool Lbs &amp; Component Lbs'!J9/'Pool Lbs &amp; Component Lbs'!N9</f>
        <v>5.1647375526674297E-2</v>
      </c>
      <c r="E9" s="178">
        <f>+'Pool Lbs &amp; Component Lbs'!K9/'Pool Lbs &amp; Component Lbs'!N9</f>
        <v>0.14461736675444972</v>
      </c>
      <c r="F9" s="178">
        <f>+'Pool Lbs &amp; Component Lbs'!L9/'Pool Lbs &amp; Component Lbs'!N9</f>
        <v>0.30756673167407583</v>
      </c>
      <c r="G9" s="204">
        <f>+'Pool Lbs &amp; Component Lbs'!M9/'Pool Lbs &amp; Component Lbs'!N9</f>
        <v>0.37148241979602564</v>
      </c>
      <c r="H9" s="210">
        <f>+'Pool Lbs &amp; Component Lbs'!P9/'Pool Lbs &amp; Component Lbs'!$U9</f>
        <v>0.2201512273353643</v>
      </c>
      <c r="I9" s="179">
        <f>+'Pool Lbs &amp; Component Lbs'!Q9/'Pool Lbs &amp; Component Lbs'!$U9</f>
        <v>4.2180373392639352E-2</v>
      </c>
      <c r="J9" s="179">
        <f>+'Pool Lbs &amp; Component Lbs'!R9/'Pool Lbs &amp; Component Lbs'!$U9</f>
        <v>3.7630442758764746E-2</v>
      </c>
      <c r="K9" s="179">
        <f>+'Pool Lbs &amp; Component Lbs'!S9/'Pool Lbs &amp; Component Lbs'!$U9</f>
        <v>0.29677071955830409</v>
      </c>
      <c r="L9" s="180">
        <f>+'Pool Lbs &amp; Component Lbs'!T9/'Pool Lbs &amp; Component Lbs'!$U9</f>
        <v>0.4032672369549275</v>
      </c>
    </row>
    <row r="10" spans="1:15">
      <c r="A10" s="162">
        <f>+'Pool Lbs &amp; Component Lbs'!A10</f>
        <v>2000</v>
      </c>
      <c r="B10" s="163" t="str">
        <f>+'Pool Lbs &amp; Component Lbs'!B10</f>
        <v>JUNE</v>
      </c>
      <c r="C10" s="197">
        <f>+'Pool Lbs &amp; Component Lbs'!I10/'Pool Lbs &amp; Component Lbs'!N10</f>
        <v>0.1267264240164907</v>
      </c>
      <c r="D10" s="178">
        <f>+'Pool Lbs &amp; Component Lbs'!J10/'Pool Lbs &amp; Component Lbs'!N10</f>
        <v>6.0191436477517353E-2</v>
      </c>
      <c r="E10" s="178">
        <f>+'Pool Lbs &amp; Component Lbs'!K10/'Pool Lbs &amp; Component Lbs'!N10</f>
        <v>0.16561001437747666</v>
      </c>
      <c r="F10" s="178">
        <f>+'Pool Lbs &amp; Component Lbs'!L10/'Pool Lbs &amp; Component Lbs'!N10</f>
        <v>0.26934541682637081</v>
      </c>
      <c r="G10" s="204">
        <f>+'Pool Lbs &amp; Component Lbs'!M10/'Pool Lbs &amp; Component Lbs'!N10</f>
        <v>0.37812670830214445</v>
      </c>
      <c r="H10" s="210">
        <f>+'Pool Lbs &amp; Component Lbs'!P10/'Pool Lbs &amp; Component Lbs'!$U10</f>
        <v>0.2193534898201778</v>
      </c>
      <c r="I10" s="179">
        <f>+'Pool Lbs &amp; Component Lbs'!Q10/'Pool Lbs &amp; Component Lbs'!$U10</f>
        <v>4.1351538341411219E-2</v>
      </c>
      <c r="J10" s="179">
        <f>+'Pool Lbs &amp; Component Lbs'!R10/'Pool Lbs &amp; Component Lbs'!$U10</f>
        <v>3.8168453132598458E-2</v>
      </c>
      <c r="K10" s="179">
        <f>+'Pool Lbs &amp; Component Lbs'!S10/'Pool Lbs &amp; Component Lbs'!$U10</f>
        <v>0.29295535064456474</v>
      </c>
      <c r="L10" s="180">
        <f>+'Pool Lbs &amp; Component Lbs'!T10/'Pool Lbs &amp; Component Lbs'!$U10</f>
        <v>0.40817116806124781</v>
      </c>
    </row>
    <row r="11" spans="1:15">
      <c r="A11" s="162">
        <f>+'Pool Lbs &amp; Component Lbs'!A11</f>
        <v>2000</v>
      </c>
      <c r="B11" s="163" t="str">
        <f>+'Pool Lbs &amp; Component Lbs'!B11</f>
        <v>JULY</v>
      </c>
      <c r="C11" s="197">
        <f>+'Pool Lbs &amp; Component Lbs'!I11/'Pool Lbs &amp; Component Lbs'!N11</f>
        <v>0.12493152531199264</v>
      </c>
      <c r="D11" s="178">
        <f>+'Pool Lbs &amp; Component Lbs'!J11/'Pool Lbs &amp; Component Lbs'!N11</f>
        <v>4.7980496224615345E-2</v>
      </c>
      <c r="E11" s="178">
        <f>+'Pool Lbs &amp; Component Lbs'!K11/'Pool Lbs &amp; Component Lbs'!N11</f>
        <v>0.16801819629253362</v>
      </c>
      <c r="F11" s="178">
        <f>+'Pool Lbs &amp; Component Lbs'!L11/'Pool Lbs &amp; Component Lbs'!N11</f>
        <v>0.26317293316067908</v>
      </c>
      <c r="G11" s="204">
        <f>+'Pool Lbs &amp; Component Lbs'!M11/'Pool Lbs &amp; Component Lbs'!N11</f>
        <v>0.3958968490101793</v>
      </c>
      <c r="H11" s="210">
        <f>+'Pool Lbs &amp; Component Lbs'!P11/'Pool Lbs &amp; Component Lbs'!$U11</f>
        <v>0.211136929436504</v>
      </c>
      <c r="I11" s="179">
        <f>+'Pool Lbs &amp; Component Lbs'!Q11/'Pool Lbs &amp; Component Lbs'!$U11</f>
        <v>3.6791492203076773E-2</v>
      </c>
      <c r="J11" s="179">
        <f>+'Pool Lbs &amp; Component Lbs'!R11/'Pool Lbs &amp; Component Lbs'!$U11</f>
        <v>3.6678232787540947E-2</v>
      </c>
      <c r="K11" s="179">
        <f>+'Pool Lbs &amp; Component Lbs'!S11/'Pool Lbs &amp; Component Lbs'!$U11</f>
        <v>0.29463162677488619</v>
      </c>
      <c r="L11" s="180">
        <f>+'Pool Lbs &amp; Component Lbs'!T11/'Pool Lbs &amp; Component Lbs'!$U11</f>
        <v>0.42076171879799212</v>
      </c>
    </row>
    <row r="12" spans="1:15">
      <c r="A12" s="162">
        <f>+'Pool Lbs &amp; Component Lbs'!A12</f>
        <v>2000</v>
      </c>
      <c r="B12" s="163" t="str">
        <f>+'Pool Lbs &amp; Component Lbs'!B12</f>
        <v>AUGUST</v>
      </c>
      <c r="C12" s="197">
        <f>+'Pool Lbs &amp; Component Lbs'!I12/'Pool Lbs &amp; Component Lbs'!N12</f>
        <v>0.13478641206533604</v>
      </c>
      <c r="D12" s="178">
        <f>+'Pool Lbs &amp; Component Lbs'!J12/'Pool Lbs &amp; Component Lbs'!N12</f>
        <v>5.6502652949153812E-2</v>
      </c>
      <c r="E12" s="178">
        <f>+'Pool Lbs &amp; Component Lbs'!K12/'Pool Lbs &amp; Component Lbs'!N12</f>
        <v>0.12319994055123105</v>
      </c>
      <c r="F12" s="178">
        <f>+'Pool Lbs &amp; Component Lbs'!L12/'Pool Lbs &amp; Component Lbs'!N12</f>
        <v>0.27377166984437273</v>
      </c>
      <c r="G12" s="204">
        <f>+'Pool Lbs &amp; Component Lbs'!M12/'Pool Lbs &amp; Component Lbs'!N12</f>
        <v>0.41173932458990636</v>
      </c>
      <c r="H12" s="210">
        <f>+'Pool Lbs &amp; Component Lbs'!P12/'Pool Lbs &amp; Component Lbs'!$U12</f>
        <v>0.22931582589623425</v>
      </c>
      <c r="I12" s="179">
        <f>+'Pool Lbs &amp; Component Lbs'!Q12/'Pool Lbs &amp; Component Lbs'!$U12</f>
        <v>4.5361049657005666E-2</v>
      </c>
      <c r="J12" s="179">
        <f>+'Pool Lbs &amp; Component Lbs'!R12/'Pool Lbs &amp; Component Lbs'!$U12</f>
        <v>3.6740195470018597E-2</v>
      </c>
      <c r="K12" s="179">
        <f>+'Pool Lbs &amp; Component Lbs'!S12/'Pool Lbs &amp; Component Lbs'!$U12</f>
        <v>0.26912338265496571</v>
      </c>
      <c r="L12" s="180">
        <f>+'Pool Lbs &amp; Component Lbs'!T12/'Pool Lbs &amp; Component Lbs'!$U12</f>
        <v>0.41945954632177579</v>
      </c>
    </row>
    <row r="13" spans="1:15">
      <c r="A13" s="162">
        <f>+'Pool Lbs &amp; Component Lbs'!A13</f>
        <v>2000</v>
      </c>
      <c r="B13" s="163" t="str">
        <f>+'Pool Lbs &amp; Component Lbs'!B13</f>
        <v>SEPTEMBER</v>
      </c>
      <c r="C13" s="197">
        <f>+'Pool Lbs &amp; Component Lbs'!I13/'Pool Lbs &amp; Component Lbs'!N13</f>
        <v>0.12983316848073614</v>
      </c>
      <c r="D13" s="178">
        <f>+'Pool Lbs &amp; Component Lbs'!J13/'Pool Lbs &amp; Component Lbs'!N13</f>
        <v>4.9030339517111277E-2</v>
      </c>
      <c r="E13" s="178">
        <f>+'Pool Lbs &amp; Component Lbs'!K13/'Pool Lbs &amp; Component Lbs'!N13</f>
        <v>9.4794901637770421E-2</v>
      </c>
      <c r="F13" s="178">
        <f>+'Pool Lbs &amp; Component Lbs'!L13/'Pool Lbs &amp; Component Lbs'!N13</f>
        <v>0.32113638944495582</v>
      </c>
      <c r="G13" s="204">
        <f>+'Pool Lbs &amp; Component Lbs'!M13/'Pool Lbs &amp; Component Lbs'!N13</f>
        <v>0.40520520091942636</v>
      </c>
      <c r="H13" s="210">
        <f>+'Pool Lbs &amp; Component Lbs'!P13/'Pool Lbs &amp; Component Lbs'!$U13</f>
        <v>0.23238722907722931</v>
      </c>
      <c r="I13" s="179">
        <f>+'Pool Lbs &amp; Component Lbs'!Q13/'Pool Lbs &amp; Component Lbs'!$U13</f>
        <v>4.22456678260981E-2</v>
      </c>
      <c r="J13" s="179">
        <f>+'Pool Lbs &amp; Component Lbs'!R13/'Pool Lbs &amp; Component Lbs'!$U13</f>
        <v>3.1983927786424206E-2</v>
      </c>
      <c r="K13" s="179">
        <f>+'Pool Lbs &amp; Component Lbs'!S13/'Pool Lbs &amp; Component Lbs'!$U13</f>
        <v>0.29090149014874089</v>
      </c>
      <c r="L13" s="180">
        <f>+'Pool Lbs &amp; Component Lbs'!T13/'Pool Lbs &amp; Component Lbs'!$U13</f>
        <v>0.40248168516150745</v>
      </c>
    </row>
    <row r="14" spans="1:15">
      <c r="A14" s="162">
        <f>+'Pool Lbs &amp; Component Lbs'!A14</f>
        <v>2000</v>
      </c>
      <c r="B14" s="163" t="str">
        <f>+'Pool Lbs &amp; Component Lbs'!B14</f>
        <v>OCTOBER</v>
      </c>
      <c r="C14" s="197">
        <f>+'Pool Lbs &amp; Component Lbs'!I14/'Pool Lbs &amp; Component Lbs'!N14</f>
        <v>0.13295222840672521</v>
      </c>
      <c r="D14" s="178">
        <f>+'Pool Lbs &amp; Component Lbs'!J14/'Pool Lbs &amp; Component Lbs'!N14</f>
        <v>5.1996415108696528E-2</v>
      </c>
      <c r="E14" s="178">
        <f>+'Pool Lbs &amp; Component Lbs'!K14/'Pool Lbs &amp; Component Lbs'!N14</f>
        <v>8.6446123224067611E-2</v>
      </c>
      <c r="F14" s="178">
        <f>+'Pool Lbs &amp; Component Lbs'!L14/'Pool Lbs &amp; Component Lbs'!N14</f>
        <v>0.31926571918811747</v>
      </c>
      <c r="G14" s="204">
        <f>+'Pool Lbs &amp; Component Lbs'!M14/'Pool Lbs &amp; Component Lbs'!N14</f>
        <v>0.40933951407239316</v>
      </c>
      <c r="H14" s="210">
        <f>+'Pool Lbs &amp; Component Lbs'!P14/'Pool Lbs &amp; Component Lbs'!$U14</f>
        <v>0.23817408843881094</v>
      </c>
      <c r="I14" s="179">
        <f>+'Pool Lbs &amp; Component Lbs'!Q14/'Pool Lbs &amp; Component Lbs'!$U14</f>
        <v>4.1221590323583669E-2</v>
      </c>
      <c r="J14" s="179">
        <f>+'Pool Lbs &amp; Component Lbs'!R14/'Pool Lbs &amp; Component Lbs'!$U14</f>
        <v>2.9982963427944501E-2</v>
      </c>
      <c r="K14" s="179">
        <f>+'Pool Lbs &amp; Component Lbs'!S14/'Pool Lbs &amp; Component Lbs'!$U14</f>
        <v>0.27857986660508183</v>
      </c>
      <c r="L14" s="180">
        <f>+'Pool Lbs &amp; Component Lbs'!T14/'Pool Lbs &amp; Component Lbs'!$U14</f>
        <v>0.41204149120457911</v>
      </c>
    </row>
    <row r="15" spans="1:15">
      <c r="A15" s="162">
        <f>+'Pool Lbs &amp; Component Lbs'!A15</f>
        <v>2000</v>
      </c>
      <c r="B15" s="163" t="str">
        <f>+'Pool Lbs &amp; Component Lbs'!B15</f>
        <v>NOVEMBER</v>
      </c>
      <c r="C15" s="197">
        <f>+'Pool Lbs &amp; Component Lbs'!I15/'Pool Lbs &amp; Component Lbs'!N15</f>
        <v>0.13134941615031029</v>
      </c>
      <c r="D15" s="178">
        <f>+'Pool Lbs &amp; Component Lbs'!J15/'Pool Lbs &amp; Component Lbs'!N15</f>
        <v>7.1215664706717322E-2</v>
      </c>
      <c r="E15" s="178">
        <f>+'Pool Lbs &amp; Component Lbs'!K15/'Pool Lbs &amp; Component Lbs'!N15</f>
        <v>8.3147021578623373E-2</v>
      </c>
      <c r="F15" s="178">
        <f>+'Pool Lbs &amp; Component Lbs'!L15/'Pool Lbs &amp; Component Lbs'!N15</f>
        <v>0.31638047068021985</v>
      </c>
      <c r="G15" s="204">
        <f>+'Pool Lbs &amp; Component Lbs'!M15/'Pool Lbs &amp; Component Lbs'!N15</f>
        <v>0.39790742688412917</v>
      </c>
      <c r="H15" s="210">
        <f>+'Pool Lbs &amp; Component Lbs'!P15/'Pool Lbs &amp; Component Lbs'!$U15</f>
        <v>0.2338431245980836</v>
      </c>
      <c r="I15" s="179">
        <f>+'Pool Lbs &amp; Component Lbs'!Q15/'Pool Lbs &amp; Component Lbs'!$U15</f>
        <v>4.3788075595645876E-2</v>
      </c>
      <c r="J15" s="179">
        <f>+'Pool Lbs &amp; Component Lbs'!R15/'Pool Lbs &amp; Component Lbs'!$U15</f>
        <v>2.551471550738706E-2</v>
      </c>
      <c r="K15" s="179">
        <f>+'Pool Lbs &amp; Component Lbs'!S15/'Pool Lbs &amp; Component Lbs'!$U15</f>
        <v>0.27719675351529915</v>
      </c>
      <c r="L15" s="180">
        <f>+'Pool Lbs &amp; Component Lbs'!T15/'Pool Lbs &amp; Component Lbs'!$U15</f>
        <v>0.4196573307835843</v>
      </c>
    </row>
    <row r="16" spans="1:15" ht="15.75" thickBot="1">
      <c r="A16" s="166">
        <f>+'Pool Lbs &amp; Component Lbs'!A16</f>
        <v>2000</v>
      </c>
      <c r="B16" s="167" t="str">
        <f>+'Pool Lbs &amp; Component Lbs'!B16</f>
        <v>DECEMBER</v>
      </c>
      <c r="C16" s="198">
        <f>+'Pool Lbs &amp; Component Lbs'!I16/'Pool Lbs &amp; Component Lbs'!N16</f>
        <v>0.12084311568719239</v>
      </c>
      <c r="D16" s="181">
        <f>+'Pool Lbs &amp; Component Lbs'!J16/'Pool Lbs &amp; Component Lbs'!N16</f>
        <v>5.9259842393241835E-2</v>
      </c>
      <c r="E16" s="181">
        <f>+'Pool Lbs &amp; Component Lbs'!K16/'Pool Lbs &amp; Component Lbs'!N16</f>
        <v>6.5106074749273227E-2</v>
      </c>
      <c r="F16" s="181">
        <f>+'Pool Lbs &amp; Component Lbs'!L16/'Pool Lbs &amp; Component Lbs'!N16</f>
        <v>0.34950029629906398</v>
      </c>
      <c r="G16" s="205">
        <f>+'Pool Lbs &amp; Component Lbs'!M16/'Pool Lbs &amp; Component Lbs'!N16</f>
        <v>0.40529067087122855</v>
      </c>
      <c r="H16" s="211">
        <f>+'Pool Lbs &amp; Component Lbs'!P16/'Pool Lbs &amp; Component Lbs'!$U16</f>
        <v>0.21455125874916148</v>
      </c>
      <c r="I16" s="182">
        <f>+'Pool Lbs &amp; Component Lbs'!Q16/'Pool Lbs &amp; Component Lbs'!$U16</f>
        <v>4.262648699812565E-2</v>
      </c>
      <c r="J16" s="182">
        <f>+'Pool Lbs &amp; Component Lbs'!R16/'Pool Lbs &amp; Component Lbs'!$U16</f>
        <v>1.9497368794081878E-2</v>
      </c>
      <c r="K16" s="182">
        <f>+'Pool Lbs &amp; Component Lbs'!S16/'Pool Lbs &amp; Component Lbs'!$U16</f>
        <v>0.28939842920192044</v>
      </c>
      <c r="L16" s="183">
        <f>+'Pool Lbs &amp; Component Lbs'!T16/'Pool Lbs &amp; Component Lbs'!$U16</f>
        <v>0.43392645625671056</v>
      </c>
    </row>
    <row r="17" spans="1:12" ht="15.75" thickTop="1">
      <c r="A17" s="170">
        <f>+'Pool Lbs &amp; Component Lbs'!A18</f>
        <v>2001</v>
      </c>
      <c r="B17" s="171" t="str">
        <f>+'Pool Lbs &amp; Component Lbs'!B18</f>
        <v>JANUARY</v>
      </c>
      <c r="C17" s="199">
        <f>+'Pool Lbs &amp; Component Lbs'!I18/'Pool Lbs &amp; Component Lbs'!N18</f>
        <v>0.11834384500965665</v>
      </c>
      <c r="D17" s="184">
        <f>+'Pool Lbs &amp; Component Lbs'!J18/'Pool Lbs &amp; Component Lbs'!N18</f>
        <v>4.1540692801998694E-2</v>
      </c>
      <c r="E17" s="184">
        <f>+'Pool Lbs &amp; Component Lbs'!K18/'Pool Lbs &amp; Component Lbs'!N18</f>
        <v>8.0174026238617552E-2</v>
      </c>
      <c r="F17" s="184">
        <f>+'Pool Lbs &amp; Component Lbs'!L18/'Pool Lbs &amp; Component Lbs'!N18</f>
        <v>0.36362224162920981</v>
      </c>
      <c r="G17" s="206">
        <f>+'Pool Lbs &amp; Component Lbs'!M18/'Pool Lbs &amp; Component Lbs'!N18</f>
        <v>0.39631919432051732</v>
      </c>
      <c r="H17" s="212">
        <f>+'Pool Lbs &amp; Component Lbs'!P18/'Pool Lbs &amp; Component Lbs'!$U18</f>
        <v>0.21989397192581855</v>
      </c>
      <c r="I17" s="185">
        <f>+'Pool Lbs &amp; Component Lbs'!Q18/'Pool Lbs &amp; Component Lbs'!$U18</f>
        <v>3.6619209902954843E-2</v>
      </c>
      <c r="J17" s="185">
        <f>+'Pool Lbs &amp; Component Lbs'!R18/'Pool Lbs &amp; Component Lbs'!$U18</f>
        <v>2.7053209558099808E-2</v>
      </c>
      <c r="K17" s="185">
        <f>+'Pool Lbs &amp; Component Lbs'!S18/'Pool Lbs &amp; Component Lbs'!$U18</f>
        <v>0.28539577689095408</v>
      </c>
      <c r="L17" s="186">
        <f>+'Pool Lbs &amp; Component Lbs'!T18/'Pool Lbs &amp; Component Lbs'!$U18</f>
        <v>0.43103783172217275</v>
      </c>
    </row>
    <row r="18" spans="1:12">
      <c r="A18" s="162">
        <f>+'Pool Lbs &amp; Component Lbs'!A19</f>
        <v>2001</v>
      </c>
      <c r="B18" s="163" t="str">
        <f>+'Pool Lbs &amp; Component Lbs'!B19</f>
        <v>FEBRUARY</v>
      </c>
      <c r="C18" s="197">
        <f>+'Pool Lbs &amp; Component Lbs'!I19/'Pool Lbs &amp; Component Lbs'!N19</f>
        <v>0.11888334335884064</v>
      </c>
      <c r="D18" s="178">
        <f>+'Pool Lbs &amp; Component Lbs'!J19/'Pool Lbs &amp; Component Lbs'!N19</f>
        <v>3.9025061587080988E-2</v>
      </c>
      <c r="E18" s="178">
        <f>+'Pool Lbs &amp; Component Lbs'!K19/'Pool Lbs &amp; Component Lbs'!N19</f>
        <v>8.3676445964608853E-2</v>
      </c>
      <c r="F18" s="178">
        <f>+'Pool Lbs &amp; Component Lbs'!L19/'Pool Lbs &amp; Component Lbs'!N19</f>
        <v>0.35408816159707046</v>
      </c>
      <c r="G18" s="204">
        <f>+'Pool Lbs &amp; Component Lbs'!M19/'Pool Lbs &amp; Component Lbs'!N19</f>
        <v>0.40432698749239909</v>
      </c>
      <c r="H18" s="210">
        <f>+'Pool Lbs &amp; Component Lbs'!P19/'Pool Lbs &amp; Component Lbs'!$U19</f>
        <v>0.21677800881565348</v>
      </c>
      <c r="I18" s="179">
        <f>+'Pool Lbs &amp; Component Lbs'!Q19/'Pool Lbs &amp; Component Lbs'!$U19</f>
        <v>3.800947715153976E-2</v>
      </c>
      <c r="J18" s="179">
        <f>+'Pool Lbs &amp; Component Lbs'!R19/'Pool Lbs &amp; Component Lbs'!$U19</f>
        <v>2.7874875411117814E-2</v>
      </c>
      <c r="K18" s="179">
        <f>+'Pool Lbs &amp; Component Lbs'!S19/'Pool Lbs &amp; Component Lbs'!$U19</f>
        <v>0.28095059379672838</v>
      </c>
      <c r="L18" s="180">
        <f>+'Pool Lbs &amp; Component Lbs'!T19/'Pool Lbs &amp; Component Lbs'!$U19</f>
        <v>0.43638704482496055</v>
      </c>
    </row>
    <row r="19" spans="1:12">
      <c r="A19" s="162">
        <f>+'Pool Lbs &amp; Component Lbs'!A20</f>
        <v>2001</v>
      </c>
      <c r="B19" s="163" t="str">
        <f>+'Pool Lbs &amp; Component Lbs'!B20</f>
        <v>MARCH</v>
      </c>
      <c r="C19" s="197">
        <f>+'Pool Lbs &amp; Component Lbs'!I20/'Pool Lbs &amp; Component Lbs'!N20</f>
        <v>0.11798677012628106</v>
      </c>
      <c r="D19" s="178">
        <f>+'Pool Lbs &amp; Component Lbs'!J20/'Pool Lbs &amp; Component Lbs'!N20</f>
        <v>4.8297135866605556E-2</v>
      </c>
      <c r="E19" s="178">
        <f>+'Pool Lbs &amp; Component Lbs'!K20/'Pool Lbs &amp; Component Lbs'!N20</f>
        <v>0.11162173165225783</v>
      </c>
      <c r="F19" s="178">
        <f>+'Pool Lbs &amp; Component Lbs'!L20/'Pool Lbs &amp; Component Lbs'!N20</f>
        <v>0.30327289616640191</v>
      </c>
      <c r="G19" s="204">
        <f>+'Pool Lbs &amp; Component Lbs'!M20/'Pool Lbs &amp; Component Lbs'!N20</f>
        <v>0.41882146618845362</v>
      </c>
      <c r="H19" s="210">
        <f>+'Pool Lbs &amp; Component Lbs'!P20/'Pool Lbs &amp; Component Lbs'!$U20</f>
        <v>0.21497982763919798</v>
      </c>
      <c r="I19" s="179">
        <f>+'Pool Lbs &amp; Component Lbs'!Q20/'Pool Lbs &amp; Component Lbs'!$U20</f>
        <v>4.0303344495817933E-2</v>
      </c>
      <c r="J19" s="179">
        <f>+'Pool Lbs &amp; Component Lbs'!R20/'Pool Lbs &amp; Component Lbs'!$U20</f>
        <v>3.1474765291252017E-2</v>
      </c>
      <c r="K19" s="179">
        <f>+'Pool Lbs &amp; Component Lbs'!S20/'Pool Lbs &amp; Component Lbs'!$U20</f>
        <v>0.27436849801056368</v>
      </c>
      <c r="L19" s="180">
        <f>+'Pool Lbs &amp; Component Lbs'!T20/'Pool Lbs &amp; Component Lbs'!$U20</f>
        <v>0.43887356456316839</v>
      </c>
    </row>
    <row r="20" spans="1:12">
      <c r="A20" s="162">
        <f>+'Pool Lbs &amp; Component Lbs'!A21</f>
        <v>2001</v>
      </c>
      <c r="B20" s="163" t="str">
        <f>+'Pool Lbs &amp; Component Lbs'!B21</f>
        <v>APRIL</v>
      </c>
      <c r="C20" s="197">
        <f>+'Pool Lbs &amp; Component Lbs'!I21/'Pool Lbs &amp; Component Lbs'!N21</f>
        <v>0.11715871658715482</v>
      </c>
      <c r="D20" s="178">
        <f>+'Pool Lbs &amp; Component Lbs'!J21/'Pool Lbs &amp; Component Lbs'!N21</f>
        <v>5.3155421326008569E-2</v>
      </c>
      <c r="E20" s="178">
        <f>+'Pool Lbs &amp; Component Lbs'!K21/'Pool Lbs &amp; Component Lbs'!N21</f>
        <v>0.11987927200666322</v>
      </c>
      <c r="F20" s="178">
        <f>+'Pool Lbs &amp; Component Lbs'!L21/'Pool Lbs &amp; Component Lbs'!N21</f>
        <v>0.2950708974846124</v>
      </c>
      <c r="G20" s="204">
        <f>+'Pool Lbs &amp; Component Lbs'!M21/'Pool Lbs &amp; Component Lbs'!N21</f>
        <v>0.41473569259556098</v>
      </c>
      <c r="H20" s="210">
        <f>+'Pool Lbs &amp; Component Lbs'!P21/'Pool Lbs &amp; Component Lbs'!$U21</f>
        <v>0.20759896432988503</v>
      </c>
      <c r="I20" s="179">
        <f>+'Pool Lbs &amp; Component Lbs'!Q21/'Pool Lbs &amp; Component Lbs'!$U21</f>
        <v>3.8075746609426087E-2</v>
      </c>
      <c r="J20" s="179">
        <f>+'Pool Lbs &amp; Component Lbs'!R21/'Pool Lbs &amp; Component Lbs'!$U21</f>
        <v>3.4122546897144841E-2</v>
      </c>
      <c r="K20" s="179">
        <f>+'Pool Lbs &amp; Component Lbs'!S21/'Pool Lbs &amp; Component Lbs'!$U21</f>
        <v>0.27856238035690706</v>
      </c>
      <c r="L20" s="180">
        <f>+'Pool Lbs &amp; Component Lbs'!T21/'Pool Lbs &amp; Component Lbs'!$U21</f>
        <v>0.44164036180663696</v>
      </c>
    </row>
    <row r="21" spans="1:12">
      <c r="A21" s="162">
        <f>+'Pool Lbs &amp; Component Lbs'!A22</f>
        <v>2001</v>
      </c>
      <c r="B21" s="163" t="str">
        <f>+'Pool Lbs &amp; Component Lbs'!B22</f>
        <v>MAY</v>
      </c>
      <c r="C21" s="197">
        <f>+'Pool Lbs &amp; Component Lbs'!I22/'Pool Lbs &amp; Component Lbs'!N22</f>
        <v>0.11820027071323168</v>
      </c>
      <c r="D21" s="178">
        <f>+'Pool Lbs &amp; Component Lbs'!J22/'Pool Lbs &amp; Component Lbs'!N22</f>
        <v>5.793427426984251E-2</v>
      </c>
      <c r="E21" s="178">
        <f>+'Pool Lbs &amp; Component Lbs'!K22/'Pool Lbs &amp; Component Lbs'!N22</f>
        <v>0.1389490698506271</v>
      </c>
      <c r="F21" s="178">
        <f>+'Pool Lbs &amp; Component Lbs'!L22/'Pool Lbs &amp; Component Lbs'!N22</f>
        <v>0.26523124713387586</v>
      </c>
      <c r="G21" s="204">
        <f>+'Pool Lbs &amp; Component Lbs'!M22/'Pool Lbs &amp; Component Lbs'!N22</f>
        <v>0.41968513803242286</v>
      </c>
      <c r="H21" s="210">
        <f>+'Pool Lbs &amp; Component Lbs'!P22/'Pool Lbs &amp; Component Lbs'!$U22</f>
        <v>0.20989365979319857</v>
      </c>
      <c r="I21" s="179">
        <f>+'Pool Lbs &amp; Component Lbs'!Q22/'Pool Lbs &amp; Component Lbs'!$U22</f>
        <v>3.969178036782476E-2</v>
      </c>
      <c r="J21" s="179">
        <f>+'Pool Lbs &amp; Component Lbs'!R22/'Pool Lbs &amp; Component Lbs'!$U22</f>
        <v>3.6403919980270351E-2</v>
      </c>
      <c r="K21" s="179">
        <f>+'Pool Lbs &amp; Component Lbs'!S22/'Pool Lbs &amp; Component Lbs'!$U22</f>
        <v>0.2767962962794131</v>
      </c>
      <c r="L21" s="180">
        <f>+'Pool Lbs &amp; Component Lbs'!T22/'Pool Lbs &amp; Component Lbs'!$U22</f>
        <v>0.43721434357929323</v>
      </c>
    </row>
    <row r="22" spans="1:12">
      <c r="A22" s="162">
        <f>+'Pool Lbs &amp; Component Lbs'!A23</f>
        <v>2001</v>
      </c>
      <c r="B22" s="163" t="str">
        <f>+'Pool Lbs &amp; Component Lbs'!B23</f>
        <v>JUNE</v>
      </c>
      <c r="C22" s="197">
        <f>+'Pool Lbs &amp; Component Lbs'!I23/'Pool Lbs &amp; Component Lbs'!N23</f>
        <v>0.11504061011531846</v>
      </c>
      <c r="D22" s="178">
        <f>+'Pool Lbs &amp; Component Lbs'!J23/'Pool Lbs &amp; Component Lbs'!N23</f>
        <v>5.3044229404031654E-2</v>
      </c>
      <c r="E22" s="178">
        <f>+'Pool Lbs &amp; Component Lbs'!K23/'Pool Lbs &amp; Component Lbs'!N23</f>
        <v>0.14031624227023015</v>
      </c>
      <c r="F22" s="178">
        <f>+'Pool Lbs &amp; Component Lbs'!L23/'Pool Lbs &amp; Component Lbs'!N23</f>
        <v>0.25794675819570256</v>
      </c>
      <c r="G22" s="204">
        <f>+'Pool Lbs &amp; Component Lbs'!M23/'Pool Lbs &amp; Component Lbs'!N23</f>
        <v>0.43365216001471718</v>
      </c>
      <c r="H22" s="210">
        <f>+'Pool Lbs &amp; Component Lbs'!P23/'Pool Lbs &amp; Component Lbs'!$U23</f>
        <v>0.20028519461382693</v>
      </c>
      <c r="I22" s="179">
        <f>+'Pool Lbs &amp; Component Lbs'!Q23/'Pool Lbs &amp; Component Lbs'!$U23</f>
        <v>3.7329518257827377E-2</v>
      </c>
      <c r="J22" s="179">
        <f>+'Pool Lbs &amp; Component Lbs'!R23/'Pool Lbs &amp; Component Lbs'!$U23</f>
        <v>3.7076360653169417E-2</v>
      </c>
      <c r="K22" s="179">
        <f>+'Pool Lbs &amp; Component Lbs'!S23/'Pool Lbs &amp; Component Lbs'!$U23</f>
        <v>0.28210145823098587</v>
      </c>
      <c r="L22" s="180">
        <f>+'Pool Lbs &amp; Component Lbs'!T23/'Pool Lbs &amp; Component Lbs'!$U23</f>
        <v>0.44320746824419038</v>
      </c>
    </row>
    <row r="23" spans="1:12">
      <c r="A23" s="162">
        <f>+'Pool Lbs &amp; Component Lbs'!A24</f>
        <v>2001</v>
      </c>
      <c r="B23" s="163" t="str">
        <f>+'Pool Lbs &amp; Component Lbs'!B24</f>
        <v>JULY</v>
      </c>
      <c r="C23" s="197">
        <f>+'Pool Lbs &amp; Component Lbs'!I24/'Pool Lbs &amp; Component Lbs'!N24</f>
        <v>0.12348289216839448</v>
      </c>
      <c r="D23" s="178">
        <f>+'Pool Lbs &amp; Component Lbs'!J24/'Pool Lbs &amp; Component Lbs'!N24</f>
        <v>5.5051246699170595E-2</v>
      </c>
      <c r="E23" s="178">
        <f>+'Pool Lbs &amp; Component Lbs'!K24/'Pool Lbs &amp; Component Lbs'!N24</f>
        <v>0.13601208311317833</v>
      </c>
      <c r="F23" s="178">
        <f>+'Pool Lbs &amp; Component Lbs'!L24/'Pool Lbs &amp; Component Lbs'!N24</f>
        <v>0.247372220494881</v>
      </c>
      <c r="G23" s="204">
        <f>+'Pool Lbs &amp; Component Lbs'!M24/'Pool Lbs &amp; Component Lbs'!N24</f>
        <v>0.43808155752437555</v>
      </c>
      <c r="H23" s="210">
        <f>+'Pool Lbs &amp; Component Lbs'!P24/'Pool Lbs &amp; Component Lbs'!$U24</f>
        <v>0.20911930220787317</v>
      </c>
      <c r="I23" s="179">
        <f>+'Pool Lbs &amp; Component Lbs'!Q24/'Pool Lbs &amp; Component Lbs'!$U24</f>
        <v>3.7898093411308294E-2</v>
      </c>
      <c r="J23" s="179">
        <f>+'Pool Lbs &amp; Component Lbs'!R24/'Pool Lbs &amp; Component Lbs'!$U24</f>
        <v>3.6422142478307322E-2</v>
      </c>
      <c r="K23" s="179">
        <f>+'Pool Lbs &amp; Component Lbs'!S24/'Pool Lbs &amp; Component Lbs'!$U24</f>
        <v>0.26647782643453649</v>
      </c>
      <c r="L23" s="180">
        <f>+'Pool Lbs &amp; Component Lbs'!T24/'Pool Lbs &amp; Component Lbs'!$U24</f>
        <v>0.45008263546797472</v>
      </c>
    </row>
    <row r="24" spans="1:12">
      <c r="A24" s="162">
        <f>+'Pool Lbs &amp; Component Lbs'!A25</f>
        <v>2001</v>
      </c>
      <c r="B24" s="163" t="str">
        <f>+'Pool Lbs &amp; Component Lbs'!B25</f>
        <v>AUGUST</v>
      </c>
      <c r="C24" s="197">
        <f>+'Pool Lbs &amp; Component Lbs'!I25/'Pool Lbs &amp; Component Lbs'!N25</f>
        <v>0.12567010942786769</v>
      </c>
      <c r="D24" s="178">
        <f>+'Pool Lbs &amp; Component Lbs'!J25/'Pool Lbs &amp; Component Lbs'!N25</f>
        <v>5.6139937675975721E-2</v>
      </c>
      <c r="E24" s="178">
        <f>+'Pool Lbs &amp; Component Lbs'!K25/'Pool Lbs &amp; Component Lbs'!N25</f>
        <v>0.13626293509993184</v>
      </c>
      <c r="F24" s="178">
        <f>+'Pool Lbs &amp; Component Lbs'!L25/'Pool Lbs &amp; Component Lbs'!N25</f>
        <v>0.25229353024759138</v>
      </c>
      <c r="G24" s="204">
        <f>+'Pool Lbs &amp; Component Lbs'!M25/'Pool Lbs &amp; Component Lbs'!N25</f>
        <v>0.42963348754863334</v>
      </c>
      <c r="H24" s="210">
        <f>+'Pool Lbs &amp; Component Lbs'!P25/'Pool Lbs &amp; Component Lbs'!$U25</f>
        <v>0.21601727278083455</v>
      </c>
      <c r="I24" s="179">
        <f>+'Pool Lbs &amp; Component Lbs'!Q25/'Pool Lbs &amp; Component Lbs'!$U25</f>
        <v>3.9028463892306714E-2</v>
      </c>
      <c r="J24" s="179">
        <f>+'Pool Lbs &amp; Component Lbs'!R25/'Pool Lbs &amp; Component Lbs'!$U25</f>
        <v>3.7292694622883656E-2</v>
      </c>
      <c r="K24" s="179">
        <f>+'Pool Lbs &amp; Component Lbs'!S25/'Pool Lbs &amp; Component Lbs'!$U25</f>
        <v>0.26026746726998429</v>
      </c>
      <c r="L24" s="180">
        <f>+'Pool Lbs &amp; Component Lbs'!T25/'Pool Lbs &amp; Component Lbs'!$U25</f>
        <v>0.44739410143399078</v>
      </c>
    </row>
    <row r="25" spans="1:12">
      <c r="A25" s="162">
        <f>+'Pool Lbs &amp; Component Lbs'!A26</f>
        <v>2001</v>
      </c>
      <c r="B25" s="163" t="str">
        <f>+'Pool Lbs &amp; Component Lbs'!B26</f>
        <v>SEPTEMBER</v>
      </c>
      <c r="C25" s="197">
        <f>+'Pool Lbs &amp; Component Lbs'!I26/'Pool Lbs &amp; Component Lbs'!N26</f>
        <v>0.1197926639436358</v>
      </c>
      <c r="D25" s="178">
        <f>+'Pool Lbs &amp; Component Lbs'!J26/'Pool Lbs &amp; Component Lbs'!N26</f>
        <v>5.1816239622350359E-2</v>
      </c>
      <c r="E25" s="178">
        <f>+'Pool Lbs &amp; Component Lbs'!K26/'Pool Lbs &amp; Component Lbs'!N26</f>
        <v>0.12768375034945198</v>
      </c>
      <c r="F25" s="178">
        <f>+'Pool Lbs &amp; Component Lbs'!L26/'Pool Lbs &amp; Component Lbs'!N26</f>
        <v>0.27114496639735158</v>
      </c>
      <c r="G25" s="204">
        <f>+'Pool Lbs &amp; Component Lbs'!M26/'Pool Lbs &amp; Component Lbs'!N26</f>
        <v>0.42956237968721028</v>
      </c>
      <c r="H25" s="210">
        <f>+'Pool Lbs &amp; Component Lbs'!P26/'Pool Lbs &amp; Component Lbs'!$U26</f>
        <v>0.21529826455551293</v>
      </c>
      <c r="I25" s="179">
        <f>+'Pool Lbs &amp; Component Lbs'!Q26/'Pool Lbs &amp; Component Lbs'!$U26</f>
        <v>3.8598187170450764E-2</v>
      </c>
      <c r="J25" s="179">
        <f>+'Pool Lbs &amp; Component Lbs'!R26/'Pool Lbs &amp; Component Lbs'!$U26</f>
        <v>3.2742007934186246E-2</v>
      </c>
      <c r="K25" s="179">
        <f>+'Pool Lbs &amp; Component Lbs'!S26/'Pool Lbs &amp; Component Lbs'!$U26</f>
        <v>0.27469405745262526</v>
      </c>
      <c r="L25" s="180">
        <f>+'Pool Lbs &amp; Component Lbs'!T26/'Pool Lbs &amp; Component Lbs'!$U26</f>
        <v>0.43866748288722479</v>
      </c>
    </row>
    <row r="26" spans="1:12">
      <c r="A26" s="162">
        <f>+'Pool Lbs &amp; Component Lbs'!A27</f>
        <v>2001</v>
      </c>
      <c r="B26" s="163" t="str">
        <f>+'Pool Lbs &amp; Component Lbs'!B27</f>
        <v>OCTOBER</v>
      </c>
      <c r="C26" s="197">
        <f>+'Pool Lbs &amp; Component Lbs'!I27/'Pool Lbs &amp; Component Lbs'!N27</f>
        <v>0.1229330596330569</v>
      </c>
      <c r="D26" s="178">
        <f>+'Pool Lbs &amp; Component Lbs'!J27/'Pool Lbs &amp; Component Lbs'!N27</f>
        <v>5.1025276726254211E-2</v>
      </c>
      <c r="E26" s="178">
        <f>+'Pool Lbs &amp; Component Lbs'!K27/'Pool Lbs &amp; Component Lbs'!N27</f>
        <v>7.8942116163095225E-2</v>
      </c>
      <c r="F26" s="178">
        <f>+'Pool Lbs &amp; Component Lbs'!L27/'Pool Lbs &amp; Component Lbs'!N27</f>
        <v>0.3189814531130804</v>
      </c>
      <c r="G26" s="204">
        <f>+'Pool Lbs &amp; Component Lbs'!M27/'Pool Lbs &amp; Component Lbs'!N27</f>
        <v>0.42811809436451326</v>
      </c>
      <c r="H26" s="210">
        <f>+'Pool Lbs &amp; Component Lbs'!P27/'Pool Lbs &amp; Component Lbs'!$U27</f>
        <v>0.22308736332573018</v>
      </c>
      <c r="I26" s="179">
        <f>+'Pool Lbs &amp; Component Lbs'!Q27/'Pool Lbs &amp; Component Lbs'!$U27</f>
        <v>3.9957230550373986E-2</v>
      </c>
      <c r="J26" s="179">
        <f>+'Pool Lbs &amp; Component Lbs'!R27/'Pool Lbs &amp; Component Lbs'!$U27</f>
        <v>2.8692284028513069E-2</v>
      </c>
      <c r="K26" s="179">
        <f>+'Pool Lbs &amp; Component Lbs'!S27/'Pool Lbs &amp; Component Lbs'!$U27</f>
        <v>0.27190460476479883</v>
      </c>
      <c r="L26" s="180">
        <f>+'Pool Lbs &amp; Component Lbs'!T27/'Pool Lbs &amp; Component Lbs'!$U27</f>
        <v>0.43635851733058395</v>
      </c>
    </row>
    <row r="27" spans="1:12">
      <c r="A27" s="162">
        <f>+'Pool Lbs &amp; Component Lbs'!A28</f>
        <v>2001</v>
      </c>
      <c r="B27" s="163" t="str">
        <f>+'Pool Lbs &amp; Component Lbs'!B28</f>
        <v>NOVEMBER</v>
      </c>
      <c r="C27" s="197">
        <f>+'Pool Lbs &amp; Component Lbs'!I28/'Pool Lbs &amp; Component Lbs'!N28</f>
        <v>0.12155262577410336</v>
      </c>
      <c r="D27" s="178">
        <f>+'Pool Lbs &amp; Component Lbs'!J28/'Pool Lbs &amp; Component Lbs'!N28</f>
        <v>5.8463079325193464E-2</v>
      </c>
      <c r="E27" s="178">
        <f>+'Pool Lbs &amp; Component Lbs'!K28/'Pool Lbs &amp; Component Lbs'!N28</f>
        <v>5.8584933800790127E-2</v>
      </c>
      <c r="F27" s="178">
        <f>+'Pool Lbs &amp; Component Lbs'!L28/'Pool Lbs &amp; Component Lbs'!N28</f>
        <v>0.33908877595972492</v>
      </c>
      <c r="G27" s="204">
        <f>+'Pool Lbs &amp; Component Lbs'!M28/'Pool Lbs &amp; Component Lbs'!N28</f>
        <v>0.42231058514018815</v>
      </c>
      <c r="H27" s="210">
        <f>+'Pool Lbs &amp; Component Lbs'!P28/'Pool Lbs &amp; Component Lbs'!$U28</f>
        <v>0.21854155903757869</v>
      </c>
      <c r="I27" s="179">
        <f>+'Pool Lbs &amp; Component Lbs'!Q28/'Pool Lbs &amp; Component Lbs'!$U28</f>
        <v>3.4991970209851918E-2</v>
      </c>
      <c r="J27" s="179">
        <f>+'Pool Lbs &amp; Component Lbs'!R28/'Pool Lbs &amp; Component Lbs'!$U28</f>
        <v>2.2338808227288551E-2</v>
      </c>
      <c r="K27" s="179">
        <f>+'Pool Lbs &amp; Component Lbs'!S28/'Pool Lbs &amp; Component Lbs'!$U28</f>
        <v>0.2866885621391706</v>
      </c>
      <c r="L27" s="180">
        <f>+'Pool Lbs &amp; Component Lbs'!T28/'Pool Lbs &amp; Component Lbs'!$U28</f>
        <v>0.43743910038611022</v>
      </c>
    </row>
    <row r="28" spans="1:12" ht="15.75" thickBot="1">
      <c r="A28" s="172">
        <f>+'Pool Lbs &amp; Component Lbs'!A29</f>
        <v>2001</v>
      </c>
      <c r="B28" s="173" t="str">
        <f>+'Pool Lbs &amp; Component Lbs'!B29</f>
        <v>DECEMBER</v>
      </c>
      <c r="C28" s="200">
        <f>+'Pool Lbs &amp; Component Lbs'!I29/'Pool Lbs &amp; Component Lbs'!N29</f>
        <v>0.11376110452359041</v>
      </c>
      <c r="D28" s="187">
        <f>+'Pool Lbs &amp; Component Lbs'!J29/'Pool Lbs &amp; Component Lbs'!N29</f>
        <v>5.7160267860561942E-2</v>
      </c>
      <c r="E28" s="187">
        <f>+'Pool Lbs &amp; Component Lbs'!K29/'Pool Lbs &amp; Component Lbs'!N29</f>
        <v>4.3319605901058225E-2</v>
      </c>
      <c r="F28" s="187">
        <f>+'Pool Lbs &amp; Component Lbs'!L29/'Pool Lbs &amp; Component Lbs'!N29</f>
        <v>0.36920943957353575</v>
      </c>
      <c r="G28" s="207">
        <f>+'Pool Lbs &amp; Component Lbs'!M29/'Pool Lbs &amp; Component Lbs'!N29</f>
        <v>0.41654958214125365</v>
      </c>
      <c r="H28" s="213">
        <f>+'Pool Lbs &amp; Component Lbs'!P29/'Pool Lbs &amp; Component Lbs'!$U29</f>
        <v>0.20687976363641411</v>
      </c>
      <c r="I28" s="188">
        <f>+'Pool Lbs &amp; Component Lbs'!Q29/'Pool Lbs &amp; Component Lbs'!$U29</f>
        <v>3.5466642771080567E-2</v>
      </c>
      <c r="J28" s="188">
        <f>+'Pool Lbs &amp; Component Lbs'!R29/'Pool Lbs &amp; Component Lbs'!$U29</f>
        <v>1.7010135051164294E-2</v>
      </c>
      <c r="K28" s="188">
        <f>+'Pool Lbs &amp; Component Lbs'!S29/'Pool Lbs &amp; Component Lbs'!$U29</f>
        <v>0.29931474312040501</v>
      </c>
      <c r="L28" s="189">
        <f>+'Pool Lbs &amp; Component Lbs'!T29/'Pool Lbs &amp; Component Lbs'!$U29</f>
        <v>0.44132871542093599</v>
      </c>
    </row>
    <row r="29" spans="1:12" ht="15.75" thickTop="1">
      <c r="A29" s="168">
        <f>+'Pool Lbs &amp; Component Lbs'!A31</f>
        <v>2002</v>
      </c>
      <c r="B29" s="169" t="str">
        <f>+'Pool Lbs &amp; Component Lbs'!B31</f>
        <v>JANUARY</v>
      </c>
      <c r="C29" s="196">
        <f>+'Pool Lbs &amp; Component Lbs'!I31/'Pool Lbs &amp; Component Lbs'!N31</f>
        <v>0.11571493988244351</v>
      </c>
      <c r="D29" s="174">
        <f>+'Pool Lbs &amp; Component Lbs'!J31/'Pool Lbs &amp; Component Lbs'!N31</f>
        <v>4.1345064465462017E-2</v>
      </c>
      <c r="E29" s="174">
        <f>+'Pool Lbs &amp; Component Lbs'!K31/'Pool Lbs &amp; Component Lbs'!N31</f>
        <v>7.6108213296136928E-2</v>
      </c>
      <c r="F29" s="174">
        <f>+'Pool Lbs &amp; Component Lbs'!L31/'Pool Lbs &amp; Component Lbs'!N31</f>
        <v>0.34850698630199095</v>
      </c>
      <c r="G29" s="203">
        <f>+'Pool Lbs &amp; Component Lbs'!M31/'Pool Lbs &amp; Component Lbs'!N31</f>
        <v>0.41832479605396661</v>
      </c>
      <c r="H29" s="209">
        <f>+'Pool Lbs &amp; Component Lbs'!P31/'Pool Lbs &amp; Component Lbs'!$U31</f>
        <v>0.21449730249636823</v>
      </c>
      <c r="I29" s="175">
        <f>+'Pool Lbs &amp; Component Lbs'!Q31/'Pool Lbs &amp; Component Lbs'!$U31</f>
        <v>3.4068867691869252E-2</v>
      </c>
      <c r="J29" s="175">
        <f>+'Pool Lbs &amp; Component Lbs'!R31/'Pool Lbs &amp; Component Lbs'!$U31</f>
        <v>2.7916897848685021E-2</v>
      </c>
      <c r="K29" s="175">
        <f>+'Pool Lbs &amp; Component Lbs'!S31/'Pool Lbs &amp; Component Lbs'!$U31</f>
        <v>0.27512136813480798</v>
      </c>
      <c r="L29" s="176">
        <f>+'Pool Lbs &amp; Component Lbs'!T31/'Pool Lbs &amp; Component Lbs'!$U31</f>
        <v>0.44839556382826951</v>
      </c>
    </row>
    <row r="30" spans="1:12">
      <c r="A30" s="162">
        <f>+'Pool Lbs &amp; Component Lbs'!A32</f>
        <v>2002</v>
      </c>
      <c r="B30" s="163" t="str">
        <f>+'Pool Lbs &amp; Component Lbs'!B32</f>
        <v>FEBRUARY</v>
      </c>
      <c r="C30" s="197">
        <f>+'Pool Lbs &amp; Component Lbs'!I32/'Pool Lbs &amp; Component Lbs'!N32</f>
        <v>0.11498275215527576</v>
      </c>
      <c r="D30" s="178">
        <f>+'Pool Lbs &amp; Component Lbs'!J32/'Pool Lbs &amp; Component Lbs'!N32</f>
        <v>4.330929831171116E-2</v>
      </c>
      <c r="E30" s="178">
        <f>+'Pool Lbs &amp; Component Lbs'!K32/'Pool Lbs &amp; Component Lbs'!N32</f>
        <v>8.494050144420881E-2</v>
      </c>
      <c r="F30" s="178">
        <f>+'Pool Lbs &amp; Component Lbs'!L32/'Pool Lbs &amp; Component Lbs'!N32</f>
        <v>0.35601551852129271</v>
      </c>
      <c r="G30" s="204">
        <f>+'Pool Lbs &amp; Component Lbs'!M32/'Pool Lbs &amp; Component Lbs'!N32</f>
        <v>0.4007519295675116</v>
      </c>
      <c r="H30" s="210">
        <f>+'Pool Lbs &amp; Component Lbs'!P32/'Pool Lbs &amp; Component Lbs'!$U32</f>
        <v>0.21001300242746912</v>
      </c>
      <c r="I30" s="179">
        <f>+'Pool Lbs &amp; Component Lbs'!Q32/'Pool Lbs &amp; Component Lbs'!$U32</f>
        <v>3.6020250603833716E-2</v>
      </c>
      <c r="J30" s="179">
        <f>+'Pool Lbs &amp; Component Lbs'!R32/'Pool Lbs &amp; Component Lbs'!$U32</f>
        <v>3.1624185842275387E-2</v>
      </c>
      <c r="K30" s="179">
        <f>+'Pool Lbs &amp; Component Lbs'!S32/'Pool Lbs &amp; Component Lbs'!$U32</f>
        <v>0.27567932887569963</v>
      </c>
      <c r="L30" s="180">
        <f>+'Pool Lbs &amp; Component Lbs'!T32/'Pool Lbs &amp; Component Lbs'!$U32</f>
        <v>0.44666323225072213</v>
      </c>
    </row>
    <row r="31" spans="1:12">
      <c r="A31" s="162">
        <f>+'Pool Lbs &amp; Component Lbs'!A33</f>
        <v>2002</v>
      </c>
      <c r="B31" s="163" t="str">
        <f>+'Pool Lbs &amp; Component Lbs'!B33</f>
        <v>MARCH</v>
      </c>
      <c r="C31" s="197">
        <f>+'Pool Lbs &amp; Component Lbs'!I33/'Pool Lbs &amp; Component Lbs'!N33</f>
        <v>0.11141141630040935</v>
      </c>
      <c r="D31" s="178">
        <f>+'Pool Lbs &amp; Component Lbs'!J33/'Pool Lbs &amp; Component Lbs'!N33</f>
        <v>4.4348337450033463E-2</v>
      </c>
      <c r="E31" s="178">
        <f>+'Pool Lbs &amp; Component Lbs'!K33/'Pool Lbs &amp; Component Lbs'!N33</f>
        <v>8.8202852176025803E-2</v>
      </c>
      <c r="F31" s="178">
        <f>+'Pool Lbs &amp; Component Lbs'!L33/'Pool Lbs &amp; Component Lbs'!N33</f>
        <v>0.35803156265207869</v>
      </c>
      <c r="G31" s="204">
        <f>+'Pool Lbs &amp; Component Lbs'!M33/'Pool Lbs &amp; Component Lbs'!N33</f>
        <v>0.39800583142145268</v>
      </c>
      <c r="H31" s="210">
        <f>+'Pool Lbs &amp; Component Lbs'!P33/'Pool Lbs &amp; Component Lbs'!$U33</f>
        <v>0.20140805606598308</v>
      </c>
      <c r="I31" s="179">
        <f>+'Pool Lbs &amp; Component Lbs'!Q33/'Pool Lbs &amp; Component Lbs'!$U33</f>
        <v>3.5089786633936651E-2</v>
      </c>
      <c r="J31" s="179">
        <f>+'Pool Lbs &amp; Component Lbs'!R33/'Pool Lbs &amp; Component Lbs'!$U33</f>
        <v>3.3561856262727618E-2</v>
      </c>
      <c r="K31" s="179">
        <f>+'Pool Lbs &amp; Component Lbs'!S33/'Pool Lbs &amp; Component Lbs'!$U33</f>
        <v>0.29322349165822259</v>
      </c>
      <c r="L31" s="180">
        <f>+'Pool Lbs &amp; Component Lbs'!T33/'Pool Lbs &amp; Component Lbs'!$U33</f>
        <v>0.43671680937913004</v>
      </c>
    </row>
    <row r="32" spans="1:12">
      <c r="A32" s="162">
        <f>+'Pool Lbs &amp; Component Lbs'!A34</f>
        <v>2002</v>
      </c>
      <c r="B32" s="163" t="str">
        <f>+'Pool Lbs &amp; Component Lbs'!B34</f>
        <v>APRIL</v>
      </c>
      <c r="C32" s="197">
        <f>+'Pool Lbs &amp; Component Lbs'!I34/'Pool Lbs &amp; Component Lbs'!N34</f>
        <v>0.11373751459000774</v>
      </c>
      <c r="D32" s="178">
        <f>+'Pool Lbs &amp; Component Lbs'!J34/'Pool Lbs &amp; Component Lbs'!N34</f>
        <v>4.5645329129418974E-2</v>
      </c>
      <c r="E32" s="178">
        <f>+'Pool Lbs &amp; Component Lbs'!K34/'Pool Lbs &amp; Component Lbs'!N34</f>
        <v>9.2625074958371342E-2</v>
      </c>
      <c r="F32" s="178">
        <f>+'Pool Lbs &amp; Component Lbs'!L34/'Pool Lbs &amp; Component Lbs'!N34</f>
        <v>0.34631154575590722</v>
      </c>
      <c r="G32" s="204">
        <f>+'Pool Lbs &amp; Component Lbs'!M34/'Pool Lbs &amp; Component Lbs'!N34</f>
        <v>0.40168053556629474</v>
      </c>
      <c r="H32" s="210">
        <f>+'Pool Lbs &amp; Component Lbs'!P34/'Pool Lbs &amp; Component Lbs'!$U34</f>
        <v>0.20248304578063142</v>
      </c>
      <c r="I32" s="179">
        <f>+'Pool Lbs &amp; Component Lbs'!Q34/'Pool Lbs &amp; Component Lbs'!$U34</f>
        <v>3.2890122440352658E-2</v>
      </c>
      <c r="J32" s="179">
        <f>+'Pool Lbs &amp; Component Lbs'!R34/'Pool Lbs &amp; Component Lbs'!$U34</f>
        <v>3.6038839382144756E-2</v>
      </c>
      <c r="K32" s="179">
        <f>+'Pool Lbs &amp; Component Lbs'!S34/'Pool Lbs &amp; Component Lbs'!$U34</f>
        <v>0.29351286565716767</v>
      </c>
      <c r="L32" s="180">
        <f>+'Pool Lbs &amp; Component Lbs'!T34/'Pool Lbs &amp; Component Lbs'!$U34</f>
        <v>0.4350751267397035</v>
      </c>
    </row>
    <row r="33" spans="1:12">
      <c r="A33" s="162">
        <f>+'Pool Lbs &amp; Component Lbs'!A35</f>
        <v>2002</v>
      </c>
      <c r="B33" s="163" t="str">
        <f>+'Pool Lbs &amp; Component Lbs'!B35</f>
        <v>MAY</v>
      </c>
      <c r="C33" s="197">
        <f>+'Pool Lbs &amp; Component Lbs'!I35/'Pool Lbs &amp; Component Lbs'!N35</f>
        <v>0.11323115208616595</v>
      </c>
      <c r="D33" s="178">
        <f>+'Pool Lbs &amp; Component Lbs'!J35/'Pool Lbs &amp; Component Lbs'!N35</f>
        <v>4.9256937615597345E-2</v>
      </c>
      <c r="E33" s="178">
        <f>+'Pool Lbs &amp; Component Lbs'!K35/'Pool Lbs &amp; Component Lbs'!N35</f>
        <v>8.6266272378403133E-2</v>
      </c>
      <c r="F33" s="178">
        <f>+'Pool Lbs &amp; Component Lbs'!L35/'Pool Lbs &amp; Component Lbs'!N35</f>
        <v>0.34670906567171594</v>
      </c>
      <c r="G33" s="204">
        <f>+'Pool Lbs &amp; Component Lbs'!M35/'Pool Lbs &amp; Component Lbs'!N35</f>
        <v>0.40453657224811762</v>
      </c>
      <c r="H33" s="210">
        <f>+'Pool Lbs &amp; Component Lbs'!P35/'Pool Lbs &amp; Component Lbs'!$U35</f>
        <v>0.20066630988709303</v>
      </c>
      <c r="I33" s="179">
        <f>+'Pool Lbs &amp; Component Lbs'!Q35/'Pool Lbs &amp; Component Lbs'!$U35</f>
        <v>3.2539025151300936E-2</v>
      </c>
      <c r="J33" s="179">
        <f>+'Pool Lbs &amp; Component Lbs'!R35/'Pool Lbs &amp; Component Lbs'!$U35</f>
        <v>3.3993049175109001E-2</v>
      </c>
      <c r="K33" s="179">
        <f>+'Pool Lbs &amp; Component Lbs'!S35/'Pool Lbs &amp; Component Lbs'!$U35</f>
        <v>0.3005706142673164</v>
      </c>
      <c r="L33" s="180">
        <f>+'Pool Lbs &amp; Component Lbs'!T35/'Pool Lbs &amp; Component Lbs'!$U35</f>
        <v>0.43223100151918065</v>
      </c>
    </row>
    <row r="34" spans="1:12">
      <c r="A34" s="162">
        <f>+'Pool Lbs &amp; Component Lbs'!A36</f>
        <v>2002</v>
      </c>
      <c r="B34" s="163" t="str">
        <f>+'Pool Lbs &amp; Component Lbs'!B36</f>
        <v>JUNE</v>
      </c>
      <c r="C34" s="197">
        <f>+'Pool Lbs &amp; Component Lbs'!I36/'Pool Lbs &amp; Component Lbs'!N36</f>
        <v>0.11009893947571227</v>
      </c>
      <c r="D34" s="178">
        <f>+'Pool Lbs &amp; Component Lbs'!J36/'Pool Lbs &amp; Component Lbs'!N36</f>
        <v>4.7756890805019485E-2</v>
      </c>
      <c r="E34" s="178">
        <f>+'Pool Lbs &amp; Component Lbs'!K36/'Pool Lbs &amp; Component Lbs'!N36</f>
        <v>9.0706412279003876E-2</v>
      </c>
      <c r="F34" s="178">
        <f>+'Pool Lbs &amp; Component Lbs'!L36/'Pool Lbs &amp; Component Lbs'!N36</f>
        <v>0.33700485222757209</v>
      </c>
      <c r="G34" s="204">
        <f>+'Pool Lbs &amp; Component Lbs'!M36/'Pool Lbs &amp; Component Lbs'!N36</f>
        <v>0.41443290521269227</v>
      </c>
      <c r="H34" s="210">
        <f>+'Pool Lbs &amp; Component Lbs'!P36/'Pool Lbs &amp; Component Lbs'!$U36</f>
        <v>0.1879051739530529</v>
      </c>
      <c r="I34" s="179">
        <f>+'Pool Lbs &amp; Component Lbs'!Q36/'Pool Lbs &amp; Component Lbs'!$U36</f>
        <v>3.2985872374382261E-2</v>
      </c>
      <c r="J34" s="179">
        <f>+'Pool Lbs &amp; Component Lbs'!R36/'Pool Lbs &amp; Component Lbs'!$U36</f>
        <v>3.5009330230520129E-2</v>
      </c>
      <c r="K34" s="179">
        <f>+'Pool Lbs &amp; Component Lbs'!S36/'Pool Lbs &amp; Component Lbs'!$U36</f>
        <v>0.3072633356209597</v>
      </c>
      <c r="L34" s="180">
        <f>+'Pool Lbs &amp; Component Lbs'!T36/'Pool Lbs &amp; Component Lbs'!$U36</f>
        <v>0.43683628782108502</v>
      </c>
    </row>
    <row r="35" spans="1:12">
      <c r="A35" s="162">
        <f>+'Pool Lbs &amp; Component Lbs'!A37</f>
        <v>2002</v>
      </c>
      <c r="B35" s="163" t="str">
        <f>+'Pool Lbs &amp; Component Lbs'!B37</f>
        <v>JULY</v>
      </c>
      <c r="C35" s="197">
        <f>+'Pool Lbs &amp; Component Lbs'!I37/'Pool Lbs &amp; Component Lbs'!N37</f>
        <v>0.11950256300677459</v>
      </c>
      <c r="D35" s="178">
        <f>+'Pool Lbs &amp; Component Lbs'!J37/'Pool Lbs &amp; Component Lbs'!N37</f>
        <v>4.9461059739398405E-2</v>
      </c>
      <c r="E35" s="178">
        <f>+'Pool Lbs &amp; Component Lbs'!K37/'Pool Lbs &amp; Component Lbs'!N37</f>
        <v>8.5268349036967436E-2</v>
      </c>
      <c r="F35" s="178">
        <f>+'Pool Lbs &amp; Component Lbs'!L37/'Pool Lbs &amp; Component Lbs'!N37</f>
        <v>0.32170082415820755</v>
      </c>
      <c r="G35" s="204">
        <f>+'Pool Lbs &amp; Component Lbs'!M37/'Pool Lbs &amp; Component Lbs'!N37</f>
        <v>0.424067204058652</v>
      </c>
      <c r="H35" s="210">
        <f>+'Pool Lbs &amp; Component Lbs'!P37/'Pool Lbs &amp; Component Lbs'!$U37</f>
        <v>0.19924439825371251</v>
      </c>
      <c r="I35" s="179">
        <f>+'Pool Lbs &amp; Component Lbs'!Q37/'Pool Lbs &amp; Component Lbs'!$U37</f>
        <v>3.5977847484025258E-2</v>
      </c>
      <c r="J35" s="179">
        <f>+'Pool Lbs &amp; Component Lbs'!R37/'Pool Lbs &amp; Component Lbs'!$U37</f>
        <v>3.2546476315749362E-2</v>
      </c>
      <c r="K35" s="179">
        <f>+'Pool Lbs &amp; Component Lbs'!S37/'Pool Lbs &amp; Component Lbs'!$U37</f>
        <v>0.28532582954732461</v>
      </c>
      <c r="L35" s="180">
        <f>+'Pool Lbs &amp; Component Lbs'!T37/'Pool Lbs &amp; Component Lbs'!$U37</f>
        <v>0.44690544839918822</v>
      </c>
    </row>
    <row r="36" spans="1:12">
      <c r="A36" s="162">
        <f>+'Pool Lbs &amp; Component Lbs'!A38</f>
        <v>2002</v>
      </c>
      <c r="B36" s="163" t="str">
        <f>+'Pool Lbs &amp; Component Lbs'!B38</f>
        <v>AUGUST</v>
      </c>
      <c r="C36" s="197">
        <f>+'Pool Lbs &amp; Component Lbs'!I38/'Pool Lbs &amp; Component Lbs'!N38</f>
        <v>0.11845843899245179</v>
      </c>
      <c r="D36" s="178">
        <f>+'Pool Lbs &amp; Component Lbs'!J38/'Pool Lbs &amp; Component Lbs'!N38</f>
        <v>4.7141974697141577E-2</v>
      </c>
      <c r="E36" s="178">
        <f>+'Pool Lbs &amp; Component Lbs'!K38/'Pool Lbs &amp; Component Lbs'!N38</f>
        <v>8.3769357525958876E-2</v>
      </c>
      <c r="F36" s="178">
        <f>+'Pool Lbs &amp; Component Lbs'!L38/'Pool Lbs &amp; Component Lbs'!N38</f>
        <v>0.31518534317480867</v>
      </c>
      <c r="G36" s="204">
        <f>+'Pool Lbs &amp; Component Lbs'!M38/'Pool Lbs &amp; Component Lbs'!N38</f>
        <v>0.43544488560963907</v>
      </c>
      <c r="H36" s="210">
        <f>+'Pool Lbs &amp; Component Lbs'!P38/'Pool Lbs &amp; Component Lbs'!$U38</f>
        <v>0.20011104202580271</v>
      </c>
      <c r="I36" s="179">
        <f>+'Pool Lbs &amp; Component Lbs'!Q38/'Pool Lbs &amp; Component Lbs'!$U38</f>
        <v>3.3335352866590458E-2</v>
      </c>
      <c r="J36" s="179">
        <f>+'Pool Lbs &amp; Component Lbs'!R38/'Pool Lbs &amp; Component Lbs'!$U38</f>
        <v>3.204003748877831E-2</v>
      </c>
      <c r="K36" s="179">
        <f>+'Pool Lbs &amp; Component Lbs'!S38/'Pool Lbs &amp; Component Lbs'!$U38</f>
        <v>0.27979137747756733</v>
      </c>
      <c r="L36" s="180">
        <f>+'Pool Lbs &amp; Component Lbs'!T38/'Pool Lbs &amp; Component Lbs'!$U38</f>
        <v>0.4547221901412612</v>
      </c>
    </row>
    <row r="37" spans="1:12">
      <c r="A37" s="162">
        <f>+'Pool Lbs &amp; Component Lbs'!A39</f>
        <v>2002</v>
      </c>
      <c r="B37" s="163" t="str">
        <f>+'Pool Lbs &amp; Component Lbs'!B39</f>
        <v>SEPTEMBER</v>
      </c>
      <c r="C37" s="197">
        <f>+'Pool Lbs &amp; Component Lbs'!I39/'Pool Lbs &amp; Component Lbs'!N39</f>
        <v>0.12215469793633527</v>
      </c>
      <c r="D37" s="178">
        <f>+'Pool Lbs &amp; Component Lbs'!J39/'Pool Lbs &amp; Component Lbs'!N39</f>
        <v>4.8545859068620099E-2</v>
      </c>
      <c r="E37" s="178">
        <f>+'Pool Lbs &amp; Component Lbs'!K39/'Pool Lbs &amp; Component Lbs'!N39</f>
        <v>7.879127261989613E-2</v>
      </c>
      <c r="F37" s="178">
        <f>+'Pool Lbs &amp; Component Lbs'!L39/'Pool Lbs &amp; Component Lbs'!N39</f>
        <v>0.29691758817671982</v>
      </c>
      <c r="G37" s="204">
        <f>+'Pool Lbs &amp; Component Lbs'!M39/'Pool Lbs &amp; Component Lbs'!N39</f>
        <v>0.45359058219842874</v>
      </c>
      <c r="H37" s="210">
        <f>+'Pool Lbs &amp; Component Lbs'!P39/'Pool Lbs &amp; Component Lbs'!$U39</f>
        <v>0.21416983184236948</v>
      </c>
      <c r="I37" s="179">
        <f>+'Pool Lbs &amp; Component Lbs'!Q39/'Pool Lbs &amp; Component Lbs'!$U39</f>
        <v>3.9216093666487747E-2</v>
      </c>
      <c r="J37" s="179">
        <f>+'Pool Lbs &amp; Component Lbs'!R39/'Pool Lbs &amp; Component Lbs'!$U39</f>
        <v>3.0607225855330128E-2</v>
      </c>
      <c r="K37" s="179">
        <f>+'Pool Lbs &amp; Component Lbs'!S39/'Pool Lbs &amp; Component Lbs'!$U39</f>
        <v>0.2581659743823661</v>
      </c>
      <c r="L37" s="180">
        <f>+'Pool Lbs &amp; Component Lbs'!T39/'Pool Lbs &amp; Component Lbs'!$U39</f>
        <v>0.45784087425344655</v>
      </c>
    </row>
    <row r="38" spans="1:12">
      <c r="A38" s="162">
        <f>+'Pool Lbs &amp; Component Lbs'!A40</f>
        <v>2002</v>
      </c>
      <c r="B38" s="163" t="str">
        <f>+'Pool Lbs &amp; Component Lbs'!B40</f>
        <v>OCTOBER</v>
      </c>
      <c r="C38" s="197">
        <f>+'Pool Lbs &amp; Component Lbs'!I40/'Pool Lbs &amp; Component Lbs'!N40</f>
        <v>0.12241233873678502</v>
      </c>
      <c r="D38" s="178">
        <f>+'Pool Lbs &amp; Component Lbs'!J40/'Pool Lbs &amp; Component Lbs'!N40</f>
        <v>5.6360712500528813E-2</v>
      </c>
      <c r="E38" s="178">
        <f>+'Pool Lbs &amp; Component Lbs'!K40/'Pool Lbs &amp; Component Lbs'!N40</f>
        <v>7.5276963175343797E-2</v>
      </c>
      <c r="F38" s="178">
        <f>+'Pool Lbs &amp; Component Lbs'!L40/'Pool Lbs &amp; Component Lbs'!N40</f>
        <v>0.31395902136084486</v>
      </c>
      <c r="G38" s="204">
        <f>+'Pool Lbs &amp; Component Lbs'!M40/'Pool Lbs &amp; Component Lbs'!N40</f>
        <v>0.43199096422649752</v>
      </c>
      <c r="H38" s="210">
        <f>+'Pool Lbs &amp; Component Lbs'!P40/'Pool Lbs &amp; Component Lbs'!$U40</f>
        <v>0.21664664837896286</v>
      </c>
      <c r="I38" s="179">
        <f>+'Pool Lbs &amp; Component Lbs'!Q40/'Pool Lbs &amp; Component Lbs'!$U40</f>
        <v>3.914853781355631E-2</v>
      </c>
      <c r="J38" s="179">
        <f>+'Pool Lbs &amp; Component Lbs'!R40/'Pool Lbs &amp; Component Lbs'!$U40</f>
        <v>2.6496943886776543E-2</v>
      </c>
      <c r="K38" s="179">
        <f>+'Pool Lbs &amp; Component Lbs'!S40/'Pool Lbs &amp; Component Lbs'!$U40</f>
        <v>0.27206841516928154</v>
      </c>
      <c r="L38" s="180">
        <f>+'Pool Lbs &amp; Component Lbs'!T40/'Pool Lbs &amp; Component Lbs'!$U40</f>
        <v>0.44563945475142275</v>
      </c>
    </row>
    <row r="39" spans="1:12">
      <c r="A39" s="162">
        <f>+'Pool Lbs &amp; Component Lbs'!A41</f>
        <v>2002</v>
      </c>
      <c r="B39" s="163" t="str">
        <f>+'Pool Lbs &amp; Component Lbs'!B41</f>
        <v>NOVEMBER</v>
      </c>
      <c r="C39" s="197">
        <f>+'Pool Lbs &amp; Component Lbs'!I41/'Pool Lbs &amp; Component Lbs'!N41</f>
        <v>0.11662053365788695</v>
      </c>
      <c r="D39" s="178">
        <f>+'Pool Lbs &amp; Component Lbs'!J41/'Pool Lbs &amp; Component Lbs'!N41</f>
        <v>6.4601972296498486E-2</v>
      </c>
      <c r="E39" s="178">
        <f>+'Pool Lbs &amp; Component Lbs'!K41/'Pool Lbs &amp; Component Lbs'!N41</f>
        <v>6.339596635485166E-2</v>
      </c>
      <c r="F39" s="178">
        <f>+'Pool Lbs &amp; Component Lbs'!L41/'Pool Lbs &amp; Component Lbs'!N41</f>
        <v>0.30695248491627863</v>
      </c>
      <c r="G39" s="204">
        <f>+'Pool Lbs &amp; Component Lbs'!M41/'Pool Lbs &amp; Component Lbs'!N41</f>
        <v>0.44842904277448425</v>
      </c>
      <c r="H39" s="210">
        <f>+'Pool Lbs &amp; Component Lbs'!P41/'Pool Lbs &amp; Component Lbs'!$U41</f>
        <v>0.20923789257946901</v>
      </c>
      <c r="I39" s="179">
        <f>+'Pool Lbs &amp; Component Lbs'!Q41/'Pool Lbs &amp; Component Lbs'!$U41</f>
        <v>3.8215352859153541E-2</v>
      </c>
      <c r="J39" s="179">
        <f>+'Pool Lbs &amp; Component Lbs'!R41/'Pool Lbs &amp; Component Lbs'!$U41</f>
        <v>2.3065191081468241E-2</v>
      </c>
      <c r="K39" s="179">
        <f>+'Pool Lbs &amp; Component Lbs'!S41/'Pool Lbs &amp; Component Lbs'!$U41</f>
        <v>0.26019930579192263</v>
      </c>
      <c r="L39" s="180">
        <f>+'Pool Lbs &amp; Component Lbs'!T41/'Pool Lbs &amp; Component Lbs'!$U41</f>
        <v>0.46928225768798659</v>
      </c>
    </row>
    <row r="40" spans="1:12" ht="15.75" thickBot="1">
      <c r="A40" s="166">
        <f>+'Pool Lbs &amp; Component Lbs'!A42</f>
        <v>2002</v>
      </c>
      <c r="B40" s="167" t="str">
        <f>+'Pool Lbs &amp; Component Lbs'!B42</f>
        <v>DECEMBER</v>
      </c>
      <c r="C40" s="198">
        <f>+'Pool Lbs &amp; Component Lbs'!I42/'Pool Lbs &amp; Component Lbs'!N42</f>
        <v>0.1146829846274985</v>
      </c>
      <c r="D40" s="181">
        <f>+'Pool Lbs &amp; Component Lbs'!J42/'Pool Lbs &amp; Component Lbs'!N42</f>
        <v>5.9806359271787353E-2</v>
      </c>
      <c r="E40" s="181">
        <f>+'Pool Lbs &amp; Component Lbs'!K42/'Pool Lbs &amp; Component Lbs'!N42</f>
        <v>5.4430987601842888E-2</v>
      </c>
      <c r="F40" s="181">
        <f>+'Pool Lbs &amp; Component Lbs'!L42/'Pool Lbs &amp; Component Lbs'!N42</f>
        <v>0.3434808384897941</v>
      </c>
      <c r="G40" s="205">
        <f>+'Pool Lbs &amp; Component Lbs'!M42/'Pool Lbs &amp; Component Lbs'!N42</f>
        <v>0.42759883000907711</v>
      </c>
      <c r="H40" s="211">
        <f>+'Pool Lbs &amp; Component Lbs'!P42/'Pool Lbs &amp; Component Lbs'!$U42</f>
        <v>0.20324037817526699</v>
      </c>
      <c r="I40" s="182">
        <f>+'Pool Lbs &amp; Component Lbs'!Q42/'Pool Lbs &amp; Component Lbs'!$U42</f>
        <v>3.8137943022771757E-2</v>
      </c>
      <c r="J40" s="182">
        <f>+'Pool Lbs &amp; Component Lbs'!R42/'Pool Lbs &amp; Component Lbs'!$U42</f>
        <v>1.9042024171066787E-2</v>
      </c>
      <c r="K40" s="182">
        <f>+'Pool Lbs &amp; Component Lbs'!S42/'Pool Lbs &amp; Component Lbs'!$U42</f>
        <v>0.28633353285334723</v>
      </c>
      <c r="L40" s="183">
        <f>+'Pool Lbs &amp; Component Lbs'!T42/'Pool Lbs &amp; Component Lbs'!$U42</f>
        <v>0.4532461217775472</v>
      </c>
    </row>
    <row r="41" spans="1:12" ht="15.75" thickTop="1">
      <c r="A41" s="170">
        <f>+'Pool Lbs &amp; Component Lbs'!A44</f>
        <v>2003</v>
      </c>
      <c r="B41" s="171" t="str">
        <f>+'Pool Lbs &amp; Component Lbs'!B44</f>
        <v>JANUARY</v>
      </c>
      <c r="C41" s="199">
        <f>+'Pool Lbs &amp; Component Lbs'!I44/'Pool Lbs &amp; Component Lbs'!N44</f>
        <v>0.11303469230104868</v>
      </c>
      <c r="D41" s="184">
        <f>+'Pool Lbs &amp; Component Lbs'!J44/'Pool Lbs &amp; Component Lbs'!N44</f>
        <v>4.9105122660781514E-2</v>
      </c>
      <c r="E41" s="184">
        <f>+'Pool Lbs &amp; Component Lbs'!K44/'Pool Lbs &amp; Component Lbs'!N44</f>
        <v>7.7058114438051578E-2</v>
      </c>
      <c r="F41" s="184">
        <f>+'Pool Lbs &amp; Component Lbs'!L44/'Pool Lbs &amp; Component Lbs'!N44</f>
        <v>0.34533384501772652</v>
      </c>
      <c r="G41" s="206">
        <f>+'Pool Lbs &amp; Component Lbs'!M44/'Pool Lbs &amp; Component Lbs'!N44</f>
        <v>0.41546822558239171</v>
      </c>
      <c r="H41" s="212">
        <f>+'Pool Lbs &amp; Component Lbs'!P44/'Pool Lbs &amp; Component Lbs'!$U44</f>
        <v>0.20671865508544818</v>
      </c>
      <c r="I41" s="185">
        <f>+'Pool Lbs &amp; Component Lbs'!Q44/'Pool Lbs &amp; Component Lbs'!$U44</f>
        <v>3.7743318030825479E-2</v>
      </c>
      <c r="J41" s="185">
        <f>+'Pool Lbs &amp; Component Lbs'!R44/'Pool Lbs &amp; Component Lbs'!$U44</f>
        <v>2.7544349943589275E-2</v>
      </c>
      <c r="K41" s="185">
        <f>+'Pool Lbs &amp; Component Lbs'!S44/'Pool Lbs &amp; Component Lbs'!$U44</f>
        <v>0.28677357635083484</v>
      </c>
      <c r="L41" s="186">
        <f>+'Pool Lbs &amp; Component Lbs'!T44/'Pool Lbs &amp; Component Lbs'!$U44</f>
        <v>0.44122010058930222</v>
      </c>
    </row>
    <row r="42" spans="1:12">
      <c r="A42" s="162">
        <f>+'Pool Lbs &amp; Component Lbs'!A45</f>
        <v>2003</v>
      </c>
      <c r="B42" s="163" t="str">
        <f>+'Pool Lbs &amp; Component Lbs'!B45</f>
        <v>FEBRUARY</v>
      </c>
      <c r="C42" s="197">
        <f>+'Pool Lbs &amp; Component Lbs'!I45/'Pool Lbs &amp; Component Lbs'!N45</f>
        <v>0.11288876837115504</v>
      </c>
      <c r="D42" s="178">
        <f>+'Pool Lbs &amp; Component Lbs'!J45/'Pool Lbs &amp; Component Lbs'!N45</f>
        <v>4.7893606549135027E-2</v>
      </c>
      <c r="E42" s="178">
        <f>+'Pool Lbs &amp; Component Lbs'!K45/'Pool Lbs &amp; Component Lbs'!N45</f>
        <v>7.8582694727122357E-2</v>
      </c>
      <c r="F42" s="178">
        <f>+'Pool Lbs &amp; Component Lbs'!L45/'Pool Lbs &amp; Component Lbs'!N45</f>
        <v>0.34471540673348677</v>
      </c>
      <c r="G42" s="204">
        <f>+'Pool Lbs &amp; Component Lbs'!M45/'Pool Lbs &amp; Component Lbs'!N45</f>
        <v>0.41591952361910078</v>
      </c>
      <c r="H42" s="210">
        <f>+'Pool Lbs &amp; Component Lbs'!P45/'Pool Lbs &amp; Component Lbs'!$U45</f>
        <v>0.20146697300817859</v>
      </c>
      <c r="I42" s="179">
        <f>+'Pool Lbs &amp; Component Lbs'!Q45/'Pool Lbs &amp; Component Lbs'!$U45</f>
        <v>3.8600160961676601E-2</v>
      </c>
      <c r="J42" s="179">
        <f>+'Pool Lbs &amp; Component Lbs'!R45/'Pool Lbs &amp; Component Lbs'!$U45</f>
        <v>2.9501740710492299E-2</v>
      </c>
      <c r="K42" s="179">
        <f>+'Pool Lbs &amp; Component Lbs'!S45/'Pool Lbs &amp; Component Lbs'!$U45</f>
        <v>0.28928386630899167</v>
      </c>
      <c r="L42" s="180">
        <f>+'Pool Lbs &amp; Component Lbs'!T45/'Pool Lbs &amp; Component Lbs'!$U45</f>
        <v>0.44114725901066082</v>
      </c>
    </row>
    <row r="43" spans="1:12">
      <c r="A43" s="162">
        <f>+'Pool Lbs &amp; Component Lbs'!A46</f>
        <v>2003</v>
      </c>
      <c r="B43" s="163" t="str">
        <f>+'Pool Lbs &amp; Component Lbs'!B46</f>
        <v>MARCH</v>
      </c>
      <c r="C43" s="197">
        <f>+'Pool Lbs &amp; Component Lbs'!I46/'Pool Lbs &amp; Component Lbs'!N46</f>
        <v>0.11149670585028393</v>
      </c>
      <c r="D43" s="178">
        <f>+'Pool Lbs &amp; Component Lbs'!J46/'Pool Lbs &amp; Component Lbs'!N46</f>
        <v>4.7175966473063075E-2</v>
      </c>
      <c r="E43" s="178">
        <f>+'Pool Lbs &amp; Component Lbs'!K46/'Pool Lbs &amp; Component Lbs'!N46</f>
        <v>7.4757214149317755E-2</v>
      </c>
      <c r="F43" s="178">
        <f>+'Pool Lbs &amp; Component Lbs'!L46/'Pool Lbs &amp; Component Lbs'!N46</f>
        <v>0.3501691758836421</v>
      </c>
      <c r="G43" s="204">
        <f>+'Pool Lbs &amp; Component Lbs'!M46/'Pool Lbs &amp; Component Lbs'!N46</f>
        <v>0.41640093764369313</v>
      </c>
      <c r="H43" s="210">
        <f>+'Pool Lbs &amp; Component Lbs'!P46/'Pool Lbs &amp; Component Lbs'!$U46</f>
        <v>0.19878730340056072</v>
      </c>
      <c r="I43" s="179">
        <f>+'Pool Lbs &amp; Component Lbs'!Q46/'Pool Lbs &amp; Component Lbs'!$U46</f>
        <v>3.626256155019774E-2</v>
      </c>
      <c r="J43" s="179">
        <f>+'Pool Lbs &amp; Component Lbs'!R46/'Pool Lbs &amp; Component Lbs'!$U46</f>
        <v>2.8162108814583156E-2</v>
      </c>
      <c r="K43" s="179">
        <f>+'Pool Lbs &amp; Component Lbs'!S46/'Pool Lbs &amp; Component Lbs'!$U46</f>
        <v>0.29280718286442925</v>
      </c>
      <c r="L43" s="180">
        <f>+'Pool Lbs &amp; Component Lbs'!T46/'Pool Lbs &amp; Component Lbs'!$U46</f>
        <v>0.44398084337022914</v>
      </c>
    </row>
    <row r="44" spans="1:12">
      <c r="A44" s="162">
        <f>+'Pool Lbs &amp; Component Lbs'!A47</f>
        <v>2003</v>
      </c>
      <c r="B44" s="163" t="str">
        <f>+'Pool Lbs &amp; Component Lbs'!B47</f>
        <v>APRIL</v>
      </c>
      <c r="C44" s="197">
        <f>+'Pool Lbs &amp; Component Lbs'!I47/'Pool Lbs &amp; Component Lbs'!N47</f>
        <v>0.11157942470624727</v>
      </c>
      <c r="D44" s="178">
        <f>+'Pool Lbs &amp; Component Lbs'!J47/'Pool Lbs &amp; Component Lbs'!N47</f>
        <v>4.9381855372884087E-2</v>
      </c>
      <c r="E44" s="178">
        <f>+'Pool Lbs &amp; Component Lbs'!K47/'Pool Lbs &amp; Component Lbs'!N47</f>
        <v>8.7140094544558275E-2</v>
      </c>
      <c r="F44" s="178">
        <f>+'Pool Lbs &amp; Component Lbs'!L47/'Pool Lbs &amp; Component Lbs'!N47</f>
        <v>0.33310052668861112</v>
      </c>
      <c r="G44" s="204">
        <f>+'Pool Lbs &amp; Component Lbs'!M47/'Pool Lbs &amp; Component Lbs'!N47</f>
        <v>0.41879809868769924</v>
      </c>
      <c r="H44" s="210">
        <f>+'Pool Lbs &amp; Component Lbs'!P47/'Pool Lbs &amp; Component Lbs'!$U47</f>
        <v>0.17360221141005355</v>
      </c>
      <c r="I44" s="179">
        <f>+'Pool Lbs &amp; Component Lbs'!Q47/'Pool Lbs &amp; Component Lbs'!$U47</f>
        <v>5.7683420765820656E-2</v>
      </c>
      <c r="J44" s="179">
        <f>+'Pool Lbs &amp; Component Lbs'!R47/'Pool Lbs &amp; Component Lbs'!$U47</f>
        <v>3.0557819779007112E-2</v>
      </c>
      <c r="K44" s="179">
        <f>+'Pool Lbs &amp; Component Lbs'!S47/'Pool Lbs &amp; Component Lbs'!$U47</f>
        <v>0.29303977845613693</v>
      </c>
      <c r="L44" s="180">
        <f>+'Pool Lbs &amp; Component Lbs'!T47/'Pool Lbs &amp; Component Lbs'!$U47</f>
        <v>0.44511676958898172</v>
      </c>
    </row>
    <row r="45" spans="1:12">
      <c r="A45" s="162">
        <f>+'Pool Lbs &amp; Component Lbs'!A48</f>
        <v>2003</v>
      </c>
      <c r="B45" s="163" t="str">
        <f>+'Pool Lbs &amp; Component Lbs'!B48</f>
        <v>MAY</v>
      </c>
      <c r="C45" s="197">
        <f>+'Pool Lbs &amp; Component Lbs'!I48/'Pool Lbs &amp; Component Lbs'!N48</f>
        <v>0.11293012960702835</v>
      </c>
      <c r="D45" s="178">
        <f>+'Pool Lbs &amp; Component Lbs'!J48/'Pool Lbs &amp; Component Lbs'!N48</f>
        <v>4.7955507666886353E-2</v>
      </c>
      <c r="E45" s="178">
        <f>+'Pool Lbs &amp; Component Lbs'!K48/'Pool Lbs &amp; Component Lbs'!N48</f>
        <v>8.6694775357358672E-2</v>
      </c>
      <c r="F45" s="178">
        <f>+'Pool Lbs &amp; Component Lbs'!L48/'Pool Lbs &amp; Component Lbs'!N48</f>
        <v>0.3180678397703397</v>
      </c>
      <c r="G45" s="204">
        <f>+'Pool Lbs &amp; Component Lbs'!M48/'Pool Lbs &amp; Component Lbs'!N48</f>
        <v>0.43435174759838691</v>
      </c>
      <c r="H45" s="210">
        <f>+'Pool Lbs &amp; Component Lbs'!P48/'Pool Lbs &amp; Component Lbs'!$U48</f>
        <v>0.19614790886281794</v>
      </c>
      <c r="I45" s="179">
        <f>+'Pool Lbs &amp; Component Lbs'!Q48/'Pool Lbs &amp; Component Lbs'!$U48</f>
        <v>3.5434002460597101E-2</v>
      </c>
      <c r="J45" s="179">
        <f>+'Pool Lbs &amp; Component Lbs'!R48/'Pool Lbs &amp; Component Lbs'!$U48</f>
        <v>2.9724057051783229E-2</v>
      </c>
      <c r="K45" s="179">
        <f>+'Pool Lbs &amp; Component Lbs'!S48/'Pool Lbs &amp; Component Lbs'!$U48</f>
        <v>0.28362130005519964</v>
      </c>
      <c r="L45" s="180">
        <f>+'Pool Lbs &amp; Component Lbs'!T48/'Pool Lbs &amp; Component Lbs'!$U48</f>
        <v>0.4550727315696021</v>
      </c>
    </row>
    <row r="46" spans="1:12">
      <c r="A46" s="162">
        <f>+'Pool Lbs &amp; Component Lbs'!A49</f>
        <v>2003</v>
      </c>
      <c r="B46" s="163" t="str">
        <f>+'Pool Lbs &amp; Component Lbs'!B49</f>
        <v>JUNE</v>
      </c>
      <c r="C46" s="197">
        <f>+'Pool Lbs &amp; Component Lbs'!I49/'Pool Lbs &amp; Component Lbs'!N49</f>
        <v>0.11688129620830442</v>
      </c>
      <c r="D46" s="178">
        <f>+'Pool Lbs &amp; Component Lbs'!J49/'Pool Lbs &amp; Component Lbs'!N49</f>
        <v>5.1241403983695588E-2</v>
      </c>
      <c r="E46" s="178">
        <f>+'Pool Lbs &amp; Component Lbs'!K49/'Pool Lbs &amp; Component Lbs'!N49</f>
        <v>0.10637257057703066</v>
      </c>
      <c r="F46" s="178">
        <f>+'Pool Lbs &amp; Component Lbs'!L49/'Pool Lbs &amp; Component Lbs'!N49</f>
        <v>0.26119265460514418</v>
      </c>
      <c r="G46" s="204">
        <f>+'Pool Lbs &amp; Component Lbs'!M49/'Pool Lbs &amp; Component Lbs'!N49</f>
        <v>0.46431207462582513</v>
      </c>
      <c r="H46" s="210">
        <f>+'Pool Lbs &amp; Component Lbs'!P49/'Pool Lbs &amp; Component Lbs'!$U49</f>
        <v>0.19394013430027185</v>
      </c>
      <c r="I46" s="179">
        <f>+'Pool Lbs &amp; Component Lbs'!Q49/'Pool Lbs &amp; Component Lbs'!$U49</f>
        <v>3.5911249295109859E-2</v>
      </c>
      <c r="J46" s="179">
        <f>+'Pool Lbs &amp; Component Lbs'!R49/'Pool Lbs &amp; Component Lbs'!$U49</f>
        <v>3.3992352242868284E-2</v>
      </c>
      <c r="K46" s="179">
        <f>+'Pool Lbs &amp; Component Lbs'!S49/'Pool Lbs &amp; Component Lbs'!$U49</f>
        <v>0.25924650779187353</v>
      </c>
      <c r="L46" s="180">
        <f>+'Pool Lbs &amp; Component Lbs'!T49/'Pool Lbs &amp; Component Lbs'!$U49</f>
        <v>0.47690975636987648</v>
      </c>
    </row>
    <row r="47" spans="1:12">
      <c r="A47" s="162">
        <f>+'Pool Lbs &amp; Component Lbs'!A50</f>
        <v>2003</v>
      </c>
      <c r="B47" s="163" t="str">
        <f>+'Pool Lbs &amp; Component Lbs'!B50</f>
        <v>JULY</v>
      </c>
      <c r="C47" s="197">
        <f>+'Pool Lbs &amp; Component Lbs'!I50/'Pool Lbs &amp; Component Lbs'!N50</f>
        <v>0.12049956713448273</v>
      </c>
      <c r="D47" s="178">
        <f>+'Pool Lbs &amp; Component Lbs'!J50/'Pool Lbs &amp; Component Lbs'!N50</f>
        <v>5.5808947240256646E-2</v>
      </c>
      <c r="E47" s="178">
        <f>+'Pool Lbs &amp; Component Lbs'!K50/'Pool Lbs &amp; Component Lbs'!N50</f>
        <v>0.12624327106448116</v>
      </c>
      <c r="F47" s="178">
        <f>+'Pool Lbs &amp; Component Lbs'!L50/'Pool Lbs &amp; Component Lbs'!N50</f>
        <v>0.23661098224771426</v>
      </c>
      <c r="G47" s="204">
        <f>+'Pool Lbs &amp; Component Lbs'!M50/'Pool Lbs &amp; Component Lbs'!N50</f>
        <v>0.46083723231306517</v>
      </c>
      <c r="H47" s="210">
        <f>+'Pool Lbs &amp; Component Lbs'!P50/'Pool Lbs &amp; Component Lbs'!$U50</f>
        <v>0.1794560688809006</v>
      </c>
      <c r="I47" s="179">
        <f>+'Pool Lbs &amp; Component Lbs'!Q50/'Pool Lbs &amp; Component Lbs'!$U50</f>
        <v>4.4497751006098901E-2</v>
      </c>
      <c r="J47" s="179">
        <f>+'Pool Lbs &amp; Component Lbs'!R50/'Pool Lbs &amp; Component Lbs'!$U50</f>
        <v>3.4339561772752408E-2</v>
      </c>
      <c r="K47" s="179">
        <f>+'Pool Lbs &amp; Component Lbs'!S50/'Pool Lbs &amp; Component Lbs'!$U50</f>
        <v>0.25035398957956756</v>
      </c>
      <c r="L47" s="180">
        <f>+'Pool Lbs &amp; Component Lbs'!T50/'Pool Lbs &amp; Component Lbs'!$U50</f>
        <v>0.49135262876068053</v>
      </c>
    </row>
    <row r="48" spans="1:12">
      <c r="A48" s="162">
        <f>+'Pool Lbs &amp; Component Lbs'!A51</f>
        <v>2003</v>
      </c>
      <c r="B48" s="163" t="str">
        <f>+'Pool Lbs &amp; Component Lbs'!B51</f>
        <v>AUGUST</v>
      </c>
      <c r="C48" s="197">
        <f>+'Pool Lbs &amp; Component Lbs'!I51/'Pool Lbs &amp; Component Lbs'!N51</f>
        <v>0.11848708411172482</v>
      </c>
      <c r="D48" s="178">
        <f>+'Pool Lbs &amp; Component Lbs'!J51/'Pool Lbs &amp; Component Lbs'!N51</f>
        <v>5.4718586155419732E-2</v>
      </c>
      <c r="E48" s="178">
        <f>+'Pool Lbs &amp; Component Lbs'!K51/'Pool Lbs &amp; Component Lbs'!N51</f>
        <v>0.10699543828666866</v>
      </c>
      <c r="F48" s="178">
        <f>+'Pool Lbs &amp; Component Lbs'!L51/'Pool Lbs &amp; Component Lbs'!N51</f>
        <v>0.26137102260526324</v>
      </c>
      <c r="G48" s="204">
        <f>+'Pool Lbs &amp; Component Lbs'!M51/'Pool Lbs &amp; Component Lbs'!N51</f>
        <v>0.45842786884092357</v>
      </c>
      <c r="H48" s="210">
        <f>+'Pool Lbs &amp; Component Lbs'!P51/'Pool Lbs &amp; Component Lbs'!$U51</f>
        <v>0.19786915366411539</v>
      </c>
      <c r="I48" s="179">
        <f>+'Pool Lbs &amp; Component Lbs'!Q51/'Pool Lbs &amp; Component Lbs'!$U51</f>
        <v>4.048526315160772E-2</v>
      </c>
      <c r="J48" s="179">
        <f>+'Pool Lbs &amp; Component Lbs'!R51/'Pool Lbs &amp; Component Lbs'!$U51</f>
        <v>3.1430732190587195E-2</v>
      </c>
      <c r="K48" s="179">
        <f>+'Pool Lbs &amp; Component Lbs'!S51/'Pool Lbs &amp; Component Lbs'!$U51</f>
        <v>0.25590708509072074</v>
      </c>
      <c r="L48" s="180">
        <f>+'Pool Lbs &amp; Component Lbs'!T51/'Pool Lbs &amp; Component Lbs'!$U51</f>
        <v>0.47430776590296897</v>
      </c>
    </row>
    <row r="49" spans="1:12">
      <c r="A49" s="162">
        <f>+'Pool Lbs &amp; Component Lbs'!A52</f>
        <v>2003</v>
      </c>
      <c r="B49" s="163" t="str">
        <f>+'Pool Lbs &amp; Component Lbs'!B52</f>
        <v>SEPTEMBER</v>
      </c>
      <c r="C49" s="197">
        <f>+'Pool Lbs &amp; Component Lbs'!I52/'Pool Lbs &amp; Component Lbs'!N52</f>
        <v>0.12305627923861344</v>
      </c>
      <c r="D49" s="178">
        <f>+'Pool Lbs &amp; Component Lbs'!J52/'Pool Lbs &amp; Component Lbs'!N52</f>
        <v>5.087286334652457E-2</v>
      </c>
      <c r="E49" s="178">
        <f>+'Pool Lbs &amp; Component Lbs'!K52/'Pool Lbs &amp; Component Lbs'!N52</f>
        <v>9.8194146230630497E-2</v>
      </c>
      <c r="F49" s="178">
        <f>+'Pool Lbs &amp; Component Lbs'!L52/'Pool Lbs &amp; Component Lbs'!N52</f>
        <v>0.26955012293898084</v>
      </c>
      <c r="G49" s="204">
        <f>+'Pool Lbs &amp; Component Lbs'!M52/'Pool Lbs &amp; Component Lbs'!N52</f>
        <v>0.45832658824525069</v>
      </c>
      <c r="H49" s="210">
        <f>+'Pool Lbs &amp; Component Lbs'!P52/'Pool Lbs &amp; Component Lbs'!$U52</f>
        <v>0.21430238503642621</v>
      </c>
      <c r="I49" s="179">
        <f>+'Pool Lbs &amp; Component Lbs'!Q52/'Pool Lbs &amp; Component Lbs'!$U52</f>
        <v>4.2251070952256546E-2</v>
      </c>
      <c r="J49" s="179">
        <f>+'Pool Lbs &amp; Component Lbs'!R52/'Pool Lbs &amp; Component Lbs'!$U52</f>
        <v>3.0897278297998265E-2</v>
      </c>
      <c r="K49" s="179">
        <f>+'Pool Lbs &amp; Component Lbs'!S52/'Pool Lbs &amp; Component Lbs'!$U52</f>
        <v>0.23920956723877798</v>
      </c>
      <c r="L49" s="180">
        <f>+'Pool Lbs &amp; Component Lbs'!T52/'Pool Lbs &amp; Component Lbs'!$U52</f>
        <v>0.47333969847454099</v>
      </c>
    </row>
    <row r="50" spans="1:12">
      <c r="A50" s="162">
        <f>+'Pool Lbs &amp; Component Lbs'!A53</f>
        <v>2003</v>
      </c>
      <c r="B50" s="163" t="str">
        <f>+'Pool Lbs &amp; Component Lbs'!B53</f>
        <v>OCTOBER</v>
      </c>
      <c r="C50" s="197">
        <f>+'Pool Lbs &amp; Component Lbs'!I53/'Pool Lbs &amp; Component Lbs'!N53</f>
        <v>0.12750347152944846</v>
      </c>
      <c r="D50" s="178">
        <f>+'Pool Lbs &amp; Component Lbs'!J53/'Pool Lbs &amp; Component Lbs'!N53</f>
        <v>5.6651083844292988E-2</v>
      </c>
      <c r="E50" s="178">
        <f>+'Pool Lbs &amp; Component Lbs'!K53/'Pool Lbs &amp; Component Lbs'!N53</f>
        <v>8.1736321969687512E-2</v>
      </c>
      <c r="F50" s="178">
        <f>+'Pool Lbs &amp; Component Lbs'!L53/'Pool Lbs &amp; Component Lbs'!N53</f>
        <v>0.28988625231968079</v>
      </c>
      <c r="G50" s="204">
        <f>+'Pool Lbs &amp; Component Lbs'!M53/'Pool Lbs &amp; Component Lbs'!N53</f>
        <v>0.44422287033689023</v>
      </c>
      <c r="H50" s="210">
        <f>+'Pool Lbs &amp; Component Lbs'!P53/'Pool Lbs &amp; Component Lbs'!$U53</f>
        <v>0.22183289112236196</v>
      </c>
      <c r="I50" s="179">
        <f>+'Pool Lbs &amp; Component Lbs'!Q53/'Pool Lbs &amp; Component Lbs'!$U53</f>
        <v>3.9089561883570281E-2</v>
      </c>
      <c r="J50" s="179">
        <f>+'Pool Lbs &amp; Component Lbs'!R53/'Pool Lbs &amp; Component Lbs'!$U53</f>
        <v>2.8660592993040003E-2</v>
      </c>
      <c r="K50" s="179">
        <f>+'Pool Lbs &amp; Component Lbs'!S53/'Pool Lbs &amp; Component Lbs'!$U53</f>
        <v>0.24978062372776558</v>
      </c>
      <c r="L50" s="180">
        <f>+'Pool Lbs &amp; Component Lbs'!T53/'Pool Lbs &amp; Component Lbs'!$U53</f>
        <v>0.46063633027326217</v>
      </c>
    </row>
    <row r="51" spans="1:12">
      <c r="A51" s="162">
        <f>+'Pool Lbs &amp; Component Lbs'!A54</f>
        <v>2003</v>
      </c>
      <c r="B51" s="163" t="str">
        <f>+'Pool Lbs &amp; Component Lbs'!B54</f>
        <v>NOVEMBER</v>
      </c>
      <c r="C51" s="197">
        <f>+'Pool Lbs &amp; Component Lbs'!I54/'Pool Lbs &amp; Component Lbs'!N54</f>
        <v>0.11626943508898974</v>
      </c>
      <c r="D51" s="178">
        <f>+'Pool Lbs &amp; Component Lbs'!J54/'Pool Lbs &amp; Component Lbs'!N54</f>
        <v>6.5469324731224882E-2</v>
      </c>
      <c r="E51" s="178">
        <f>+'Pool Lbs &amp; Component Lbs'!K54/'Pool Lbs &amp; Component Lbs'!N54</f>
        <v>6.9825098502046948E-2</v>
      </c>
      <c r="F51" s="178">
        <f>+'Pool Lbs &amp; Component Lbs'!L54/'Pool Lbs &amp; Component Lbs'!N54</f>
        <v>0.30892574310083909</v>
      </c>
      <c r="G51" s="204">
        <f>+'Pool Lbs &amp; Component Lbs'!M54/'Pool Lbs &amp; Component Lbs'!N54</f>
        <v>0.43951039857689933</v>
      </c>
      <c r="H51" s="210">
        <f>+'Pool Lbs &amp; Component Lbs'!P54/'Pool Lbs &amp; Component Lbs'!$U54</f>
        <v>0.20396854668278078</v>
      </c>
      <c r="I51" s="179">
        <f>+'Pool Lbs &amp; Component Lbs'!Q54/'Pool Lbs &amp; Component Lbs'!$U54</f>
        <v>4.0563151886462319E-2</v>
      </c>
      <c r="J51" s="179">
        <f>+'Pool Lbs &amp; Component Lbs'!R54/'Pool Lbs &amp; Component Lbs'!$U54</f>
        <v>2.4442314849862347E-2</v>
      </c>
      <c r="K51" s="179">
        <f>+'Pool Lbs &amp; Component Lbs'!S54/'Pool Lbs &amp; Component Lbs'!$U54</f>
        <v>0.27975196078553499</v>
      </c>
      <c r="L51" s="180">
        <f>+'Pool Lbs &amp; Component Lbs'!T54/'Pool Lbs &amp; Component Lbs'!$U54</f>
        <v>0.45127402579535958</v>
      </c>
    </row>
    <row r="52" spans="1:12" ht="15.75" thickBot="1">
      <c r="A52" s="172">
        <f>+'Pool Lbs &amp; Component Lbs'!A55</f>
        <v>2003</v>
      </c>
      <c r="B52" s="173" t="str">
        <f>+'Pool Lbs &amp; Component Lbs'!B55</f>
        <v>DECEMBER</v>
      </c>
      <c r="C52" s="200">
        <f>+'Pool Lbs &amp; Component Lbs'!I55/'Pool Lbs &amp; Component Lbs'!N55</f>
        <v>0.1150227328819413</v>
      </c>
      <c r="D52" s="187">
        <f>+'Pool Lbs &amp; Component Lbs'!J55/'Pool Lbs &amp; Component Lbs'!N55</f>
        <v>6.2383870528947803E-2</v>
      </c>
      <c r="E52" s="187">
        <f>+'Pool Lbs &amp; Component Lbs'!K55/'Pool Lbs &amp; Component Lbs'!N55</f>
        <v>5.5376083266819635E-2</v>
      </c>
      <c r="F52" s="187">
        <f>+'Pool Lbs &amp; Component Lbs'!L55/'Pool Lbs &amp; Component Lbs'!N55</f>
        <v>0.32866748463433926</v>
      </c>
      <c r="G52" s="207">
        <f>+'Pool Lbs &amp; Component Lbs'!M55/'Pool Lbs &amp; Component Lbs'!N55</f>
        <v>0.438549828687952</v>
      </c>
      <c r="H52" s="213">
        <f>+'Pool Lbs &amp; Component Lbs'!P55/'Pool Lbs &amp; Component Lbs'!$U55</f>
        <v>0.2005870433073266</v>
      </c>
      <c r="I52" s="188">
        <f>+'Pool Lbs &amp; Component Lbs'!Q55/'Pool Lbs &amp; Component Lbs'!$U55</f>
        <v>3.6178032599980127E-2</v>
      </c>
      <c r="J52" s="188">
        <f>+'Pool Lbs &amp; Component Lbs'!R55/'Pool Lbs &amp; Component Lbs'!$U55</f>
        <v>1.7894127458139814E-2</v>
      </c>
      <c r="K52" s="188">
        <f>+'Pool Lbs &amp; Component Lbs'!S55/'Pool Lbs &amp; Component Lbs'!$U55</f>
        <v>0.28122787322064796</v>
      </c>
      <c r="L52" s="189">
        <f>+'Pool Lbs &amp; Component Lbs'!T55/'Pool Lbs &amp; Component Lbs'!$U55</f>
        <v>0.46411292341390553</v>
      </c>
    </row>
    <row r="53" spans="1:12" ht="15.75" thickTop="1">
      <c r="A53" s="168">
        <f>+'Pool Lbs &amp; Component Lbs'!A57</f>
        <v>2004</v>
      </c>
      <c r="B53" s="169" t="str">
        <f>+'Pool Lbs &amp; Component Lbs'!B57</f>
        <v>JANUARY</v>
      </c>
      <c r="C53" s="196">
        <f>+'Pool Lbs &amp; Component Lbs'!I57/'Pool Lbs &amp; Component Lbs'!N57</f>
        <v>0.11361708862054397</v>
      </c>
      <c r="D53" s="174">
        <f>+'Pool Lbs &amp; Component Lbs'!J57/'Pool Lbs &amp; Component Lbs'!N57</f>
        <v>4.6627288250366133E-2</v>
      </c>
      <c r="E53" s="174">
        <f>+'Pool Lbs &amp; Component Lbs'!K57/'Pool Lbs &amp; Component Lbs'!N57</f>
        <v>6.9302190050826037E-2</v>
      </c>
      <c r="F53" s="174">
        <f>+'Pool Lbs &amp; Component Lbs'!L57/'Pool Lbs &amp; Component Lbs'!N57</f>
        <v>0.32970880308867273</v>
      </c>
      <c r="G53" s="203">
        <f>+'Pool Lbs &amp; Component Lbs'!M57/'Pool Lbs &amp; Component Lbs'!N57</f>
        <v>0.44074462998959113</v>
      </c>
      <c r="H53" s="209">
        <f>+'Pool Lbs &amp; Component Lbs'!P57/'Pool Lbs &amp; Component Lbs'!$U57</f>
        <v>0.20175651135182432</v>
      </c>
      <c r="I53" s="175">
        <f>+'Pool Lbs &amp; Component Lbs'!Q57/'Pool Lbs &amp; Component Lbs'!$U57</f>
        <v>3.5938777570308923E-2</v>
      </c>
      <c r="J53" s="175">
        <f>+'Pool Lbs &amp; Component Lbs'!R57/'Pool Lbs &amp; Component Lbs'!$U57</f>
        <v>2.342262305021935E-2</v>
      </c>
      <c r="K53" s="175">
        <f>+'Pool Lbs &amp; Component Lbs'!S57/'Pool Lbs &amp; Component Lbs'!$U57</f>
        <v>0.27340811512470681</v>
      </c>
      <c r="L53" s="176">
        <f>+'Pool Lbs &amp; Component Lbs'!T57/'Pool Lbs &amp; Component Lbs'!$U57</f>
        <v>0.46547397290294057</v>
      </c>
    </row>
    <row r="54" spans="1:12">
      <c r="A54" s="162">
        <f>+'Pool Lbs &amp; Component Lbs'!A58</f>
        <v>2004</v>
      </c>
      <c r="B54" s="163" t="str">
        <f>+'Pool Lbs &amp; Component Lbs'!B58</f>
        <v>FEBRUARY</v>
      </c>
      <c r="C54" s="197">
        <f>+'Pool Lbs &amp; Component Lbs'!I58/'Pool Lbs &amp; Component Lbs'!N58</f>
        <v>0.11247251903529669</v>
      </c>
      <c r="D54" s="178">
        <f>+'Pool Lbs &amp; Component Lbs'!J58/'Pool Lbs &amp; Component Lbs'!N58</f>
        <v>5.4604574612016794E-2</v>
      </c>
      <c r="E54" s="178">
        <f>+'Pool Lbs &amp; Component Lbs'!K58/'Pool Lbs &amp; Component Lbs'!N58</f>
        <v>8.4411221650254512E-2</v>
      </c>
      <c r="F54" s="178">
        <f>+'Pool Lbs &amp; Component Lbs'!L58/'Pool Lbs &amp; Component Lbs'!N58</f>
        <v>0.32237910028394523</v>
      </c>
      <c r="G54" s="204">
        <f>+'Pool Lbs &amp; Component Lbs'!M58/'Pool Lbs &amp; Component Lbs'!N58</f>
        <v>0.42613258441848678</v>
      </c>
      <c r="H54" s="210">
        <f>+'Pool Lbs &amp; Component Lbs'!P58/'Pool Lbs &amp; Component Lbs'!$U58</f>
        <v>0.20203335450056764</v>
      </c>
      <c r="I54" s="179">
        <f>+'Pool Lbs &amp; Component Lbs'!Q58/'Pool Lbs &amp; Component Lbs'!$U58</f>
        <v>3.7866159344252741E-2</v>
      </c>
      <c r="J54" s="179">
        <f>+'Pool Lbs &amp; Component Lbs'!R58/'Pool Lbs &amp; Component Lbs'!$U58</f>
        <v>2.6133920442617101E-2</v>
      </c>
      <c r="K54" s="179">
        <f>+'Pool Lbs &amp; Component Lbs'!S58/'Pool Lbs &amp; Component Lbs'!$U58</f>
        <v>0.27769139738750959</v>
      </c>
      <c r="L54" s="180">
        <f>+'Pool Lbs &amp; Component Lbs'!T58/'Pool Lbs &amp; Component Lbs'!$U58</f>
        <v>0.45627516832505294</v>
      </c>
    </row>
    <row r="55" spans="1:12">
      <c r="A55" s="162">
        <f>+'Pool Lbs &amp; Component Lbs'!A59</f>
        <v>2004</v>
      </c>
      <c r="B55" s="163" t="str">
        <f>+'Pool Lbs &amp; Component Lbs'!B59</f>
        <v>MARCH</v>
      </c>
      <c r="C55" s="197">
        <f>+'Pool Lbs &amp; Component Lbs'!I59/'Pool Lbs &amp; Component Lbs'!N59</f>
        <v>0.11507763578957145</v>
      </c>
      <c r="D55" s="178">
        <f>+'Pool Lbs &amp; Component Lbs'!J59/'Pool Lbs &amp; Component Lbs'!N59</f>
        <v>6.483831498576996E-2</v>
      </c>
      <c r="E55" s="178">
        <f>+'Pool Lbs &amp; Component Lbs'!K59/'Pool Lbs &amp; Component Lbs'!N59</f>
        <v>0.14578057629018298</v>
      </c>
      <c r="F55" s="178">
        <f>+'Pool Lbs &amp; Component Lbs'!L59/'Pool Lbs &amp; Component Lbs'!N59</f>
        <v>0.24139839396326634</v>
      </c>
      <c r="G55" s="204">
        <f>+'Pool Lbs &amp; Component Lbs'!M59/'Pool Lbs &amp; Component Lbs'!N59</f>
        <v>0.43290507897120928</v>
      </c>
      <c r="H55" s="210">
        <f>+'Pool Lbs &amp; Component Lbs'!P59/'Pool Lbs &amp; Component Lbs'!$U59</f>
        <v>0.20392277297186978</v>
      </c>
      <c r="I55" s="179">
        <f>+'Pool Lbs &amp; Component Lbs'!Q59/'Pool Lbs &amp; Component Lbs'!$U59</f>
        <v>4.1147955034847854E-2</v>
      </c>
      <c r="J55" s="179">
        <f>+'Pool Lbs &amp; Component Lbs'!R59/'Pool Lbs &amp; Component Lbs'!$U59</f>
        <v>3.2181251200062162E-2</v>
      </c>
      <c r="K55" s="179">
        <f>+'Pool Lbs &amp; Component Lbs'!S59/'Pool Lbs &amp; Component Lbs'!$U59</f>
        <v>0.25794606243983403</v>
      </c>
      <c r="L55" s="180">
        <f>+'Pool Lbs &amp; Component Lbs'!T59/'Pool Lbs &amp; Component Lbs'!$U59</f>
        <v>0.46480195835338617</v>
      </c>
    </row>
    <row r="56" spans="1:12">
      <c r="A56" s="162">
        <f>+'Pool Lbs &amp; Component Lbs'!A60</f>
        <v>2004</v>
      </c>
      <c r="B56" s="163" t="str">
        <f>+'Pool Lbs &amp; Component Lbs'!B60</f>
        <v>APRIL</v>
      </c>
      <c r="C56" s="197">
        <f>+'Pool Lbs &amp; Component Lbs'!I60/'Pool Lbs &amp; Component Lbs'!N60</f>
        <v>0.10497470865753841</v>
      </c>
      <c r="D56" s="178">
        <f>+'Pool Lbs &amp; Component Lbs'!J60/'Pool Lbs &amp; Component Lbs'!N60</f>
        <v>5.8765918130766176E-2</v>
      </c>
      <c r="E56" s="178">
        <f>+'Pool Lbs &amp; Component Lbs'!K60/'Pool Lbs &amp; Component Lbs'!N60</f>
        <v>0.11681734630310683</v>
      </c>
      <c r="F56" s="178">
        <f>+'Pool Lbs &amp; Component Lbs'!L60/'Pool Lbs &amp; Component Lbs'!N60</f>
        <v>0.28667168011966487</v>
      </c>
      <c r="G56" s="204">
        <f>+'Pool Lbs &amp; Component Lbs'!M60/'Pool Lbs &amp; Component Lbs'!N60</f>
        <v>0.43277034678892373</v>
      </c>
      <c r="H56" s="210">
        <f>+'Pool Lbs &amp; Component Lbs'!P60/'Pool Lbs &amp; Component Lbs'!$U60</f>
        <v>0.18236862860893946</v>
      </c>
      <c r="I56" s="179">
        <f>+'Pool Lbs &amp; Component Lbs'!Q60/'Pool Lbs &amp; Component Lbs'!$U60</f>
        <v>3.5899477266386454E-2</v>
      </c>
      <c r="J56" s="179">
        <f>+'Pool Lbs &amp; Component Lbs'!R60/'Pool Lbs &amp; Component Lbs'!$U60</f>
        <v>3.2970520623716297E-2</v>
      </c>
      <c r="K56" s="179">
        <f>+'Pool Lbs &amp; Component Lbs'!S60/'Pool Lbs &amp; Component Lbs'!$U60</f>
        <v>0.28881463428849596</v>
      </c>
      <c r="L56" s="180">
        <f>+'Pool Lbs &amp; Component Lbs'!T60/'Pool Lbs &amp; Component Lbs'!$U60</f>
        <v>0.45994673921246182</v>
      </c>
    </row>
    <row r="57" spans="1:12">
      <c r="A57" s="162">
        <f>+'Pool Lbs &amp; Component Lbs'!A61</f>
        <v>2004</v>
      </c>
      <c r="B57" s="163" t="str">
        <f>+'Pool Lbs &amp; Component Lbs'!B61</f>
        <v>MAY</v>
      </c>
      <c r="C57" s="197">
        <f>+'Pool Lbs &amp; Component Lbs'!I61/'Pool Lbs &amp; Component Lbs'!N61</f>
        <v>8.7542634713370523E-2</v>
      </c>
      <c r="D57" s="178">
        <f>+'Pool Lbs &amp; Component Lbs'!J61/'Pool Lbs &amp; Component Lbs'!N61</f>
        <v>5.5635911370427407E-2</v>
      </c>
      <c r="E57" s="178">
        <f>+'Pool Lbs &amp; Component Lbs'!K61/'Pool Lbs &amp; Component Lbs'!N61</f>
        <v>0.11463427929322088</v>
      </c>
      <c r="F57" s="178">
        <f>+'Pool Lbs &amp; Component Lbs'!L61/'Pool Lbs &amp; Component Lbs'!N61</f>
        <v>0.29871729860041807</v>
      </c>
      <c r="G57" s="204">
        <f>+'Pool Lbs &amp; Component Lbs'!M61/'Pool Lbs &amp; Component Lbs'!N61</f>
        <v>0.4434698760225631</v>
      </c>
      <c r="H57" s="210">
        <f>+'Pool Lbs &amp; Component Lbs'!P61/'Pool Lbs &amp; Component Lbs'!$U61</f>
        <v>0.15928922377006641</v>
      </c>
      <c r="I57" s="179">
        <f>+'Pool Lbs &amp; Component Lbs'!Q61/'Pool Lbs &amp; Component Lbs'!$U61</f>
        <v>3.5638708710500705E-2</v>
      </c>
      <c r="J57" s="179">
        <f>+'Pool Lbs &amp; Component Lbs'!R61/'Pool Lbs &amp; Component Lbs'!$U61</f>
        <v>3.287979499746501E-2</v>
      </c>
      <c r="K57" s="179">
        <f>+'Pool Lbs &amp; Component Lbs'!S61/'Pool Lbs &amp; Component Lbs'!$U61</f>
        <v>0.3042505459776737</v>
      </c>
      <c r="L57" s="180">
        <f>+'Pool Lbs &amp; Component Lbs'!T61/'Pool Lbs &amp; Component Lbs'!$U61</f>
        <v>0.46794172654429417</v>
      </c>
    </row>
    <row r="58" spans="1:12">
      <c r="A58" s="162">
        <f>+'Pool Lbs &amp; Component Lbs'!A62</f>
        <v>2004</v>
      </c>
      <c r="B58" s="163" t="str">
        <f>+'Pool Lbs &amp; Component Lbs'!B62</f>
        <v>JUNE</v>
      </c>
      <c r="C58" s="197">
        <f>+'Pool Lbs &amp; Component Lbs'!I62/'Pool Lbs &amp; Component Lbs'!N62</f>
        <v>9.2428146610024992E-2</v>
      </c>
      <c r="D58" s="178">
        <f>+'Pool Lbs &amp; Component Lbs'!J62/'Pool Lbs &amp; Component Lbs'!N62</f>
        <v>5.1545873591011794E-2</v>
      </c>
      <c r="E58" s="178">
        <f>+'Pool Lbs &amp; Component Lbs'!K62/'Pool Lbs &amp; Component Lbs'!N62</f>
        <v>8.328345434402834E-2</v>
      </c>
      <c r="F58" s="178">
        <f>+'Pool Lbs &amp; Component Lbs'!L62/'Pool Lbs &amp; Component Lbs'!N62</f>
        <v>0.34128163535111439</v>
      </c>
      <c r="G58" s="204">
        <f>+'Pool Lbs &amp; Component Lbs'!M62/'Pool Lbs &amp; Component Lbs'!N62</f>
        <v>0.43146089010382049</v>
      </c>
      <c r="H58" s="210">
        <f>+'Pool Lbs &amp; Component Lbs'!P62/'Pool Lbs &amp; Component Lbs'!$U62</f>
        <v>0.16233359491427665</v>
      </c>
      <c r="I58" s="179">
        <f>+'Pool Lbs &amp; Component Lbs'!Q62/'Pool Lbs &amp; Component Lbs'!$U62</f>
        <v>3.33552883977319E-2</v>
      </c>
      <c r="J58" s="179">
        <f>+'Pool Lbs &amp; Component Lbs'!R62/'Pool Lbs &amp; Component Lbs'!$U62</f>
        <v>3.2112148647708845E-2</v>
      </c>
      <c r="K58" s="179">
        <f>+'Pool Lbs &amp; Component Lbs'!S62/'Pool Lbs &amp; Component Lbs'!$U62</f>
        <v>0.30385565220663796</v>
      </c>
      <c r="L58" s="180">
        <f>+'Pool Lbs &amp; Component Lbs'!T62/'Pool Lbs &amp; Component Lbs'!$U62</f>
        <v>0.46834331583364469</v>
      </c>
    </row>
    <row r="59" spans="1:12">
      <c r="A59" s="162">
        <f>+'Pool Lbs &amp; Component Lbs'!A63</f>
        <v>2004</v>
      </c>
      <c r="B59" s="163" t="str">
        <f>+'Pool Lbs &amp; Component Lbs'!B63</f>
        <v>JULY</v>
      </c>
      <c r="C59" s="197">
        <f>+'Pool Lbs &amp; Component Lbs'!I63/'Pool Lbs &amp; Component Lbs'!N63</f>
        <v>9.5231365221370587E-2</v>
      </c>
      <c r="D59" s="178">
        <f>+'Pool Lbs &amp; Component Lbs'!J63/'Pool Lbs &amp; Component Lbs'!N63</f>
        <v>4.980692434989472E-2</v>
      </c>
      <c r="E59" s="178">
        <f>+'Pool Lbs &amp; Component Lbs'!K63/'Pool Lbs &amp; Component Lbs'!N63</f>
        <v>7.3228802655305389E-2</v>
      </c>
      <c r="F59" s="178">
        <f>+'Pool Lbs &amp; Component Lbs'!L63/'Pool Lbs &amp; Component Lbs'!N63</f>
        <v>0.34846583829582628</v>
      </c>
      <c r="G59" s="204">
        <f>+'Pool Lbs &amp; Component Lbs'!M63/'Pool Lbs &amp; Component Lbs'!N63</f>
        <v>0.43326706947760302</v>
      </c>
      <c r="H59" s="210">
        <f>+'Pool Lbs &amp; Component Lbs'!P63/'Pool Lbs &amp; Component Lbs'!$U63</f>
        <v>0.16498143907550164</v>
      </c>
      <c r="I59" s="179">
        <f>+'Pool Lbs &amp; Component Lbs'!Q63/'Pool Lbs &amp; Component Lbs'!$U63</f>
        <v>3.1662362678522696E-2</v>
      </c>
      <c r="J59" s="179">
        <f>+'Pool Lbs &amp; Component Lbs'!R63/'Pool Lbs &amp; Component Lbs'!$U63</f>
        <v>2.9553642463957364E-2</v>
      </c>
      <c r="K59" s="179">
        <f>+'Pool Lbs &amp; Component Lbs'!S63/'Pool Lbs &amp; Component Lbs'!$U63</f>
        <v>0.29828656270489962</v>
      </c>
      <c r="L59" s="180">
        <f>+'Pool Lbs &amp; Component Lbs'!T63/'Pool Lbs &amp; Component Lbs'!$U63</f>
        <v>0.47551599307711873</v>
      </c>
    </row>
    <row r="60" spans="1:12">
      <c r="A60" s="162">
        <f>+'Pool Lbs &amp; Component Lbs'!A64</f>
        <v>2004</v>
      </c>
      <c r="B60" s="163" t="str">
        <f>+'Pool Lbs &amp; Component Lbs'!B64</f>
        <v>AUGUST</v>
      </c>
      <c r="C60" s="197">
        <f>+'Pool Lbs &amp; Component Lbs'!I64/'Pool Lbs &amp; Component Lbs'!N64</f>
        <v>0.10199517536074891</v>
      </c>
      <c r="D60" s="178">
        <f>+'Pool Lbs &amp; Component Lbs'!J64/'Pool Lbs &amp; Component Lbs'!N64</f>
        <v>5.3357794078843571E-2</v>
      </c>
      <c r="E60" s="178">
        <f>+'Pool Lbs &amp; Component Lbs'!K64/'Pool Lbs &amp; Component Lbs'!N64</f>
        <v>7.6169619995552371E-2</v>
      </c>
      <c r="F60" s="178">
        <f>+'Pool Lbs &amp; Component Lbs'!L64/'Pool Lbs &amp; Component Lbs'!N64</f>
        <v>0.33375577770808951</v>
      </c>
      <c r="G60" s="204">
        <f>+'Pool Lbs &amp; Component Lbs'!M64/'Pool Lbs &amp; Component Lbs'!N64</f>
        <v>0.43472163285676563</v>
      </c>
      <c r="H60" s="210">
        <f>+'Pool Lbs &amp; Component Lbs'!P64/'Pool Lbs &amp; Component Lbs'!$U64</f>
        <v>0.17938293339814382</v>
      </c>
      <c r="I60" s="179">
        <f>+'Pool Lbs &amp; Component Lbs'!Q64/'Pool Lbs &amp; Component Lbs'!$U64</f>
        <v>3.8553212140151387E-2</v>
      </c>
      <c r="J60" s="179">
        <f>+'Pool Lbs &amp; Component Lbs'!R64/'Pool Lbs &amp; Component Lbs'!$U64</f>
        <v>3.0783988007938495E-2</v>
      </c>
      <c r="K60" s="179">
        <f>+'Pool Lbs &amp; Component Lbs'!S64/'Pool Lbs &amp; Component Lbs'!$U64</f>
        <v>0.28402959803395217</v>
      </c>
      <c r="L60" s="180">
        <f>+'Pool Lbs &amp; Component Lbs'!T64/'Pool Lbs &amp; Component Lbs'!$U64</f>
        <v>0.46725026841981415</v>
      </c>
    </row>
    <row r="61" spans="1:12">
      <c r="A61" s="162">
        <f>+'Pool Lbs &amp; Component Lbs'!A65</f>
        <v>2004</v>
      </c>
      <c r="B61" s="163" t="str">
        <f>+'Pool Lbs &amp; Component Lbs'!B65</f>
        <v>SEPTEMBER</v>
      </c>
      <c r="C61" s="197">
        <f>+'Pool Lbs &amp; Component Lbs'!I65/'Pool Lbs &amp; Component Lbs'!N65</f>
        <v>0.10238974295611349</v>
      </c>
      <c r="D61" s="178">
        <f>+'Pool Lbs &amp; Component Lbs'!J65/'Pool Lbs &amp; Component Lbs'!N65</f>
        <v>5.0687141831362491E-2</v>
      </c>
      <c r="E61" s="178">
        <f>+'Pool Lbs &amp; Component Lbs'!K65/'Pool Lbs &amp; Component Lbs'!N65</f>
        <v>7.3719145278632894E-2</v>
      </c>
      <c r="F61" s="178">
        <f>+'Pool Lbs &amp; Component Lbs'!L65/'Pool Lbs &amp; Component Lbs'!N65</f>
        <v>0.33015503560412779</v>
      </c>
      <c r="G61" s="204">
        <f>+'Pool Lbs &amp; Component Lbs'!M65/'Pool Lbs &amp; Component Lbs'!N65</f>
        <v>0.44304893432976333</v>
      </c>
      <c r="H61" s="210">
        <f>+'Pool Lbs &amp; Component Lbs'!P65/'Pool Lbs &amp; Component Lbs'!$U65</f>
        <v>0.1864010738190674</v>
      </c>
      <c r="I61" s="179">
        <f>+'Pool Lbs &amp; Component Lbs'!Q65/'Pool Lbs &amp; Component Lbs'!$U65</f>
        <v>3.5221109643724907E-2</v>
      </c>
      <c r="J61" s="179">
        <f>+'Pool Lbs &amp; Component Lbs'!R65/'Pool Lbs &amp; Component Lbs'!$U65</f>
        <v>2.70613786207589E-2</v>
      </c>
      <c r="K61" s="179">
        <f>+'Pool Lbs &amp; Component Lbs'!S65/'Pool Lbs &amp; Component Lbs'!$U65</f>
        <v>0.27157383469013352</v>
      </c>
      <c r="L61" s="180">
        <f>+'Pool Lbs &amp; Component Lbs'!T65/'Pool Lbs &amp; Component Lbs'!$U65</f>
        <v>0.47974260322631529</v>
      </c>
    </row>
    <row r="62" spans="1:12">
      <c r="A62" s="162">
        <f>+'Pool Lbs &amp; Component Lbs'!A66</f>
        <v>2004</v>
      </c>
      <c r="B62" s="163" t="str">
        <f>+'Pool Lbs &amp; Component Lbs'!B66</f>
        <v>OCTOBER</v>
      </c>
      <c r="C62" s="197">
        <f>+'Pool Lbs &amp; Component Lbs'!I66/'Pool Lbs &amp; Component Lbs'!N66</f>
        <v>9.6498574472563367E-2</v>
      </c>
      <c r="D62" s="178">
        <f>+'Pool Lbs &amp; Component Lbs'!J66/'Pool Lbs &amp; Component Lbs'!N66</f>
        <v>5.7139196676857767E-2</v>
      </c>
      <c r="E62" s="178">
        <f>+'Pool Lbs &amp; Component Lbs'!K66/'Pool Lbs &amp; Component Lbs'!N66</f>
        <v>6.6963763677013552E-2</v>
      </c>
      <c r="F62" s="178">
        <f>+'Pool Lbs &amp; Component Lbs'!L66/'Pool Lbs &amp; Component Lbs'!N66</f>
        <v>0.34533972939421709</v>
      </c>
      <c r="G62" s="204">
        <f>+'Pool Lbs &amp; Component Lbs'!M66/'Pool Lbs &amp; Component Lbs'!N66</f>
        <v>0.43405873577934828</v>
      </c>
      <c r="H62" s="210">
        <f>+'Pool Lbs &amp; Component Lbs'!P66/'Pool Lbs &amp; Component Lbs'!$U66</f>
        <v>0.17904439695620381</v>
      </c>
      <c r="I62" s="179">
        <f>+'Pool Lbs &amp; Component Lbs'!Q66/'Pool Lbs &amp; Component Lbs'!$U66</f>
        <v>3.5554544823944823E-2</v>
      </c>
      <c r="J62" s="179">
        <f>+'Pool Lbs &amp; Component Lbs'!R66/'Pool Lbs &amp; Component Lbs'!$U66</f>
        <v>2.3830848734513219E-2</v>
      </c>
      <c r="K62" s="179">
        <f>+'Pool Lbs &amp; Component Lbs'!S66/'Pool Lbs &amp; Component Lbs'!$U66</f>
        <v>0.28923097822937543</v>
      </c>
      <c r="L62" s="180">
        <f>+'Pool Lbs &amp; Component Lbs'!T66/'Pool Lbs &amp; Component Lbs'!$U66</f>
        <v>0.47233923125596272</v>
      </c>
    </row>
    <row r="63" spans="1:12">
      <c r="A63" s="162">
        <f>+'Pool Lbs &amp; Component Lbs'!A67</f>
        <v>2004</v>
      </c>
      <c r="B63" s="163" t="str">
        <f>+'Pool Lbs &amp; Component Lbs'!B67</f>
        <v>NOVEMBER</v>
      </c>
      <c r="C63" s="197">
        <f>+'Pool Lbs &amp; Component Lbs'!I67/'Pool Lbs &amp; Component Lbs'!N67</f>
        <v>9.5178243631913712E-2</v>
      </c>
      <c r="D63" s="178">
        <f>+'Pool Lbs &amp; Component Lbs'!J67/'Pool Lbs &amp; Component Lbs'!N67</f>
        <v>8.1198185656892685E-2</v>
      </c>
      <c r="E63" s="178">
        <f>+'Pool Lbs &amp; Component Lbs'!K67/'Pool Lbs &amp; Component Lbs'!N67</f>
        <v>6.0263023799449859E-2</v>
      </c>
      <c r="F63" s="178">
        <f>+'Pool Lbs &amp; Component Lbs'!L67/'Pool Lbs &amp; Component Lbs'!N67</f>
        <v>0.31106929993091242</v>
      </c>
      <c r="G63" s="204">
        <f>+'Pool Lbs &amp; Component Lbs'!M67/'Pool Lbs &amp; Component Lbs'!N67</f>
        <v>0.45229124698083129</v>
      </c>
      <c r="H63" s="210">
        <f>+'Pool Lbs &amp; Component Lbs'!P67/'Pool Lbs &amp; Component Lbs'!$U67</f>
        <v>0.17816094764969836</v>
      </c>
      <c r="I63" s="179">
        <f>+'Pool Lbs &amp; Component Lbs'!Q67/'Pool Lbs &amp; Component Lbs'!$U67</f>
        <v>3.9838149247930839E-2</v>
      </c>
      <c r="J63" s="179">
        <f>+'Pool Lbs &amp; Component Lbs'!R67/'Pool Lbs &amp; Component Lbs'!$U67</f>
        <v>2.2256471719628083E-2</v>
      </c>
      <c r="K63" s="179">
        <f>+'Pool Lbs &amp; Component Lbs'!S67/'Pool Lbs &amp; Component Lbs'!$U67</f>
        <v>0.27265029723903306</v>
      </c>
      <c r="L63" s="180">
        <f>+'Pool Lbs &amp; Component Lbs'!T67/'Pool Lbs &amp; Component Lbs'!$U67</f>
        <v>0.48709413414370967</v>
      </c>
    </row>
    <row r="64" spans="1:12" ht="15.75" thickBot="1">
      <c r="A64" s="166">
        <f>+'Pool Lbs &amp; Component Lbs'!A68</f>
        <v>2004</v>
      </c>
      <c r="B64" s="167" t="str">
        <f>+'Pool Lbs &amp; Component Lbs'!B68</f>
        <v>DECEMBER</v>
      </c>
      <c r="C64" s="198">
        <f>+'Pool Lbs &amp; Component Lbs'!I68/'Pool Lbs &amp; Component Lbs'!N68</f>
        <v>9.3766474873602387E-2</v>
      </c>
      <c r="D64" s="181">
        <f>+'Pool Lbs &amp; Component Lbs'!J68/'Pool Lbs &amp; Component Lbs'!N68</f>
        <v>6.0208455433262656E-2</v>
      </c>
      <c r="E64" s="181">
        <f>+'Pool Lbs &amp; Component Lbs'!K68/'Pool Lbs &amp; Component Lbs'!N68</f>
        <v>4.024521594353711E-2</v>
      </c>
      <c r="F64" s="181">
        <f>+'Pool Lbs &amp; Component Lbs'!L68/'Pool Lbs &amp; Component Lbs'!N68</f>
        <v>0.33890243619323424</v>
      </c>
      <c r="G64" s="205">
        <f>+'Pool Lbs &amp; Component Lbs'!M68/'Pool Lbs &amp; Component Lbs'!N68</f>
        <v>0.46687741755636358</v>
      </c>
      <c r="H64" s="211">
        <f>+'Pool Lbs &amp; Component Lbs'!P68/'Pool Lbs &amp; Component Lbs'!$U68</f>
        <v>0.17095851267783532</v>
      </c>
      <c r="I64" s="182">
        <f>+'Pool Lbs &amp; Component Lbs'!Q68/'Pool Lbs &amp; Component Lbs'!$U68</f>
        <v>3.3935928676482062E-2</v>
      </c>
      <c r="J64" s="182">
        <f>+'Pool Lbs &amp; Component Lbs'!R68/'Pool Lbs &amp; Component Lbs'!$U68</f>
        <v>1.5572119066549799E-2</v>
      </c>
      <c r="K64" s="182">
        <f>+'Pool Lbs &amp; Component Lbs'!S68/'Pool Lbs &amp; Component Lbs'!$U68</f>
        <v>0.28249342364561436</v>
      </c>
      <c r="L64" s="183">
        <f>+'Pool Lbs &amp; Component Lbs'!T68/'Pool Lbs &amp; Component Lbs'!$U68</f>
        <v>0.49704001593351843</v>
      </c>
    </row>
    <row r="65" spans="1:12" ht="15.75" thickTop="1">
      <c r="A65" s="170">
        <f>+'Pool Lbs &amp; Component Lbs'!A70</f>
        <v>2005</v>
      </c>
      <c r="B65" s="171" t="str">
        <f>+'Pool Lbs &amp; Component Lbs'!B70</f>
        <v>JANUARY</v>
      </c>
      <c r="C65" s="199">
        <f>+'Pool Lbs &amp; Component Lbs'!I70/'Pool Lbs &amp; Component Lbs'!N70</f>
        <v>9.1251252019807716E-2</v>
      </c>
      <c r="D65" s="184">
        <f>+'Pool Lbs &amp; Component Lbs'!J70/'Pool Lbs &amp; Component Lbs'!N70</f>
        <v>4.3103949475545175E-2</v>
      </c>
      <c r="E65" s="184">
        <f>+'Pool Lbs &amp; Component Lbs'!K70/'Pool Lbs &amp; Component Lbs'!N70</f>
        <v>5.1704964534841844E-2</v>
      </c>
      <c r="F65" s="184">
        <f>+'Pool Lbs &amp; Component Lbs'!L70/'Pool Lbs &amp; Component Lbs'!N70</f>
        <v>0.34572389856411667</v>
      </c>
      <c r="G65" s="206">
        <f>+'Pool Lbs &amp; Component Lbs'!M70/'Pool Lbs &amp; Component Lbs'!N70</f>
        <v>0.46821593540568862</v>
      </c>
      <c r="H65" s="212">
        <f>+'Pool Lbs &amp; Component Lbs'!P70/'Pool Lbs &amp; Component Lbs'!$U70</f>
        <v>0.17459238517352388</v>
      </c>
      <c r="I65" s="185">
        <f>+'Pool Lbs &amp; Component Lbs'!Q70/'Pool Lbs &amp; Component Lbs'!$U70</f>
        <v>3.541280206447641E-2</v>
      </c>
      <c r="J65" s="185">
        <f>+'Pool Lbs &amp; Component Lbs'!R70/'Pool Lbs &amp; Component Lbs'!$U70</f>
        <v>2.2625935771582489E-2</v>
      </c>
      <c r="K65" s="185">
        <f>+'Pool Lbs &amp; Component Lbs'!S70/'Pool Lbs &amp; Component Lbs'!$U70</f>
        <v>0.26389562847607689</v>
      </c>
      <c r="L65" s="186">
        <f>+'Pool Lbs &amp; Component Lbs'!T70/'Pool Lbs &amp; Component Lbs'!$U70</f>
        <v>0.50347324851434028</v>
      </c>
    </row>
    <row r="66" spans="1:12">
      <c r="A66" s="162">
        <f>+'Pool Lbs &amp; Component Lbs'!A71</f>
        <v>2005</v>
      </c>
      <c r="B66" s="163" t="str">
        <f>+'Pool Lbs &amp; Component Lbs'!B71</f>
        <v>FEBRUARY</v>
      </c>
      <c r="C66" s="197">
        <f>+'Pool Lbs &amp; Component Lbs'!I71/'Pool Lbs &amp; Component Lbs'!N71</f>
        <v>9.1982133391353901E-2</v>
      </c>
      <c r="D66" s="178">
        <f>+'Pool Lbs &amp; Component Lbs'!J71/'Pool Lbs &amp; Component Lbs'!N71</f>
        <v>5.0374303864170383E-2</v>
      </c>
      <c r="E66" s="178">
        <f>+'Pool Lbs &amp; Component Lbs'!K71/'Pool Lbs &amp; Component Lbs'!N71</f>
        <v>6.3297982040417825E-2</v>
      </c>
      <c r="F66" s="178">
        <f>+'Pool Lbs &amp; Component Lbs'!L71/'Pool Lbs &amp; Component Lbs'!N71</f>
        <v>0.34280091269776602</v>
      </c>
      <c r="G66" s="204">
        <f>+'Pool Lbs &amp; Component Lbs'!M71/'Pool Lbs &amp; Component Lbs'!N71</f>
        <v>0.45154466800629189</v>
      </c>
      <c r="H66" s="210">
        <f>+'Pool Lbs &amp; Component Lbs'!P71/'Pool Lbs &amp; Component Lbs'!$U71</f>
        <v>0.17416532483911609</v>
      </c>
      <c r="I66" s="179">
        <f>+'Pool Lbs &amp; Component Lbs'!Q71/'Pool Lbs &amp; Component Lbs'!$U71</f>
        <v>3.8354091052022289E-2</v>
      </c>
      <c r="J66" s="179">
        <f>+'Pool Lbs &amp; Component Lbs'!R71/'Pool Lbs &amp; Component Lbs'!$U71</f>
        <v>2.4583640131691138E-2</v>
      </c>
      <c r="K66" s="179">
        <f>+'Pool Lbs &amp; Component Lbs'!S71/'Pool Lbs &amp; Component Lbs'!$U71</f>
        <v>0.27044720712765519</v>
      </c>
      <c r="L66" s="180">
        <f>+'Pool Lbs &amp; Component Lbs'!T71/'Pool Lbs &amp; Component Lbs'!$U71</f>
        <v>0.49244973684951532</v>
      </c>
    </row>
    <row r="67" spans="1:12">
      <c r="A67" s="162">
        <f>+'Pool Lbs &amp; Component Lbs'!A72</f>
        <v>2005</v>
      </c>
      <c r="B67" s="163" t="str">
        <f>+'Pool Lbs &amp; Component Lbs'!B72</f>
        <v>MARCH</v>
      </c>
      <c r="C67" s="197">
        <f>+'Pool Lbs &amp; Component Lbs'!I72/'Pool Lbs &amp; Component Lbs'!N72</f>
        <v>9.1915279649227785E-2</v>
      </c>
      <c r="D67" s="178">
        <f>+'Pool Lbs &amp; Component Lbs'!J72/'Pool Lbs &amp; Component Lbs'!N72</f>
        <v>5.3172087612457106E-2</v>
      </c>
      <c r="E67" s="178">
        <f>+'Pool Lbs &amp; Component Lbs'!K72/'Pool Lbs &amp; Component Lbs'!N72</f>
        <v>7.2528884658147705E-2</v>
      </c>
      <c r="F67" s="178">
        <f>+'Pool Lbs &amp; Component Lbs'!L72/'Pool Lbs &amp; Component Lbs'!N72</f>
        <v>0.32984158627180249</v>
      </c>
      <c r="G67" s="204">
        <f>+'Pool Lbs &amp; Component Lbs'!M72/'Pool Lbs &amp; Component Lbs'!N72</f>
        <v>0.45254216180836493</v>
      </c>
      <c r="H67" s="210">
        <f>+'Pool Lbs &amp; Component Lbs'!P72/'Pool Lbs &amp; Component Lbs'!$U72</f>
        <v>0.16921777893949441</v>
      </c>
      <c r="I67" s="179">
        <f>+'Pool Lbs &amp; Component Lbs'!Q72/'Pool Lbs &amp; Component Lbs'!$U72</f>
        <v>3.5285545368736917E-2</v>
      </c>
      <c r="J67" s="179">
        <f>+'Pool Lbs &amp; Component Lbs'!R72/'Pool Lbs &amp; Component Lbs'!$U72</f>
        <v>2.7832511461469488E-2</v>
      </c>
      <c r="K67" s="179">
        <f>+'Pool Lbs &amp; Component Lbs'!S72/'Pool Lbs &amp; Component Lbs'!$U72</f>
        <v>0.27489796946542383</v>
      </c>
      <c r="L67" s="180">
        <f>+'Pool Lbs &amp; Component Lbs'!T72/'Pool Lbs &amp; Component Lbs'!$U72</f>
        <v>0.49276619476487538</v>
      </c>
    </row>
    <row r="68" spans="1:12">
      <c r="A68" s="162">
        <f>+'Pool Lbs &amp; Component Lbs'!A73</f>
        <v>2005</v>
      </c>
      <c r="B68" s="163" t="str">
        <f>+'Pool Lbs &amp; Component Lbs'!B73</f>
        <v>APRIL</v>
      </c>
      <c r="C68" s="197">
        <f>+'Pool Lbs &amp; Component Lbs'!I73/'Pool Lbs &amp; Component Lbs'!N73</f>
        <v>8.7136238596290855E-2</v>
      </c>
      <c r="D68" s="178">
        <f>+'Pool Lbs &amp; Component Lbs'!J73/'Pool Lbs &amp; Component Lbs'!N73</f>
        <v>4.7945232192514509E-2</v>
      </c>
      <c r="E68" s="178">
        <f>+'Pool Lbs &amp; Component Lbs'!K73/'Pool Lbs &amp; Component Lbs'!N73</f>
        <v>7.6836200816043906E-2</v>
      </c>
      <c r="F68" s="178">
        <f>+'Pool Lbs &amp; Component Lbs'!L73/'Pool Lbs &amp; Component Lbs'!N73</f>
        <v>0.32853999889091839</v>
      </c>
      <c r="G68" s="204">
        <f>+'Pool Lbs &amp; Component Lbs'!M73/'Pool Lbs &amp; Component Lbs'!N73</f>
        <v>0.45954232950423235</v>
      </c>
      <c r="H68" s="210">
        <f>+'Pool Lbs &amp; Component Lbs'!P73/'Pool Lbs &amp; Component Lbs'!$U73</f>
        <v>0.16126025528551821</v>
      </c>
      <c r="I68" s="179">
        <f>+'Pool Lbs &amp; Component Lbs'!Q73/'Pool Lbs &amp; Component Lbs'!$U73</f>
        <v>3.6651942224800636E-2</v>
      </c>
      <c r="J68" s="179">
        <f>+'Pool Lbs &amp; Component Lbs'!R73/'Pool Lbs &amp; Component Lbs'!$U73</f>
        <v>2.8578683929479442E-2</v>
      </c>
      <c r="K68" s="179">
        <f>+'Pool Lbs &amp; Component Lbs'!S73/'Pool Lbs &amp; Component Lbs'!$U73</f>
        <v>0.27897233914011865</v>
      </c>
      <c r="L68" s="180">
        <f>+'Pool Lbs &amp; Component Lbs'!T73/'Pool Lbs &amp; Component Lbs'!$U73</f>
        <v>0.49453677942008306</v>
      </c>
    </row>
    <row r="69" spans="1:12">
      <c r="A69" s="162">
        <f>+'Pool Lbs &amp; Component Lbs'!A74</f>
        <v>2005</v>
      </c>
      <c r="B69" s="163" t="str">
        <f>+'Pool Lbs &amp; Component Lbs'!B74</f>
        <v>MAY</v>
      </c>
      <c r="C69" s="197">
        <f>+'Pool Lbs &amp; Component Lbs'!I74/'Pool Lbs &amp; Component Lbs'!N74</f>
        <v>8.7917994645017067E-2</v>
      </c>
      <c r="D69" s="178">
        <f>+'Pool Lbs &amp; Component Lbs'!J74/'Pool Lbs &amp; Component Lbs'!N74</f>
        <v>5.1281853079607656E-2</v>
      </c>
      <c r="E69" s="178">
        <f>+'Pool Lbs &amp; Component Lbs'!K74/'Pool Lbs &amp; Component Lbs'!N74</f>
        <v>8.1163891760413387E-2</v>
      </c>
      <c r="F69" s="178">
        <f>+'Pool Lbs &amp; Component Lbs'!L74/'Pool Lbs &amp; Component Lbs'!N74</f>
        <v>0.31685268300524899</v>
      </c>
      <c r="G69" s="204">
        <f>+'Pool Lbs &amp; Component Lbs'!M74/'Pool Lbs &amp; Component Lbs'!N74</f>
        <v>0.46278357750971288</v>
      </c>
      <c r="H69" s="210">
        <f>+'Pool Lbs &amp; Component Lbs'!P74/'Pool Lbs &amp; Component Lbs'!$U74</f>
        <v>0.16362987103251941</v>
      </c>
      <c r="I69" s="179">
        <f>+'Pool Lbs &amp; Component Lbs'!Q74/'Pool Lbs &amp; Component Lbs'!$U74</f>
        <v>3.5241254552115943E-2</v>
      </c>
      <c r="J69" s="179">
        <f>+'Pool Lbs &amp; Component Lbs'!R74/'Pool Lbs &amp; Component Lbs'!$U74</f>
        <v>3.0884719570855645E-2</v>
      </c>
      <c r="K69" s="179">
        <f>+'Pool Lbs &amp; Component Lbs'!S74/'Pool Lbs &amp; Component Lbs'!$U74</f>
        <v>0.27031543206809439</v>
      </c>
      <c r="L69" s="180">
        <f>+'Pool Lbs &amp; Component Lbs'!T74/'Pool Lbs &amp; Component Lbs'!$U74</f>
        <v>0.49992872277641459</v>
      </c>
    </row>
    <row r="70" spans="1:12">
      <c r="A70" s="162">
        <f>+'Pool Lbs &amp; Component Lbs'!A75</f>
        <v>2005</v>
      </c>
      <c r="B70" s="163" t="str">
        <f>+'Pool Lbs &amp; Component Lbs'!B75</f>
        <v>JUNE</v>
      </c>
      <c r="C70" s="197">
        <f>+'Pool Lbs &amp; Component Lbs'!I75/'Pool Lbs &amp; Component Lbs'!N75</f>
        <v>9.0415675342240875E-2</v>
      </c>
      <c r="D70" s="178">
        <f>+'Pool Lbs &amp; Component Lbs'!J75/'Pool Lbs &amp; Component Lbs'!N75</f>
        <v>5.5541963456710933E-2</v>
      </c>
      <c r="E70" s="178">
        <f>+'Pool Lbs &amp; Component Lbs'!K75/'Pool Lbs &amp; Component Lbs'!N75</f>
        <v>8.9994223711723331E-2</v>
      </c>
      <c r="F70" s="178">
        <f>+'Pool Lbs &amp; Component Lbs'!L75/'Pool Lbs &amp; Component Lbs'!N75</f>
        <v>0.31380889088470332</v>
      </c>
      <c r="G70" s="204">
        <f>+'Pool Lbs &amp; Component Lbs'!M75/'Pool Lbs &amp; Component Lbs'!N75</f>
        <v>0.45023924660462156</v>
      </c>
      <c r="H70" s="210">
        <f>+'Pool Lbs &amp; Component Lbs'!P75/'Pool Lbs &amp; Component Lbs'!$U75</f>
        <v>0.16088289919576759</v>
      </c>
      <c r="I70" s="179">
        <f>+'Pool Lbs &amp; Component Lbs'!Q75/'Pool Lbs &amp; Component Lbs'!$U75</f>
        <v>3.8257405385733981E-2</v>
      </c>
      <c r="J70" s="179">
        <f>+'Pool Lbs &amp; Component Lbs'!R75/'Pool Lbs &amp; Component Lbs'!$U75</f>
        <v>3.2744997246958125E-2</v>
      </c>
      <c r="K70" s="179">
        <f>+'Pool Lbs &amp; Component Lbs'!S75/'Pool Lbs &amp; Component Lbs'!$U75</f>
        <v>0.27000945947247879</v>
      </c>
      <c r="L70" s="180">
        <f>+'Pool Lbs &amp; Component Lbs'!T75/'Pool Lbs &amp; Component Lbs'!$U75</f>
        <v>0.49810523869906154</v>
      </c>
    </row>
    <row r="71" spans="1:12">
      <c r="A71" s="162">
        <f>+'Pool Lbs &amp; Component Lbs'!A76</f>
        <v>2005</v>
      </c>
      <c r="B71" s="163" t="str">
        <f>+'Pool Lbs &amp; Component Lbs'!B76</f>
        <v>JULY</v>
      </c>
      <c r="C71" s="197">
        <f>+'Pool Lbs &amp; Component Lbs'!I76/'Pool Lbs &amp; Component Lbs'!N76</f>
        <v>9.069382511355803E-2</v>
      </c>
      <c r="D71" s="178">
        <f>+'Pool Lbs &amp; Component Lbs'!J76/'Pool Lbs &amp; Component Lbs'!N76</f>
        <v>6.2468330303762858E-2</v>
      </c>
      <c r="E71" s="178">
        <f>+'Pool Lbs &amp; Component Lbs'!K76/'Pool Lbs &amp; Component Lbs'!N76</f>
        <v>9.9703409415087291E-2</v>
      </c>
      <c r="F71" s="178">
        <f>+'Pool Lbs &amp; Component Lbs'!L76/'Pool Lbs &amp; Component Lbs'!N76</f>
        <v>0.28507547933007304</v>
      </c>
      <c r="G71" s="204">
        <f>+'Pool Lbs &amp; Component Lbs'!M76/'Pool Lbs &amp; Component Lbs'!N76</f>
        <v>0.46205895583751877</v>
      </c>
      <c r="H71" s="210">
        <f>+'Pool Lbs &amp; Component Lbs'!P76/'Pool Lbs &amp; Component Lbs'!$U76</f>
        <v>0.16076053717154223</v>
      </c>
      <c r="I71" s="179">
        <f>+'Pool Lbs &amp; Component Lbs'!Q76/'Pool Lbs &amp; Component Lbs'!$U76</f>
        <v>3.8629647566812232E-2</v>
      </c>
      <c r="J71" s="179">
        <f>+'Pool Lbs &amp; Component Lbs'!R76/'Pool Lbs &amp; Component Lbs'!$U76</f>
        <v>3.3267570378590211E-2</v>
      </c>
      <c r="K71" s="179">
        <f>+'Pool Lbs &amp; Component Lbs'!S76/'Pool Lbs &amp; Component Lbs'!$U76</f>
        <v>0.26146319475585306</v>
      </c>
      <c r="L71" s="180">
        <f>+'Pool Lbs &amp; Component Lbs'!T76/'Pool Lbs &amp; Component Lbs'!$U76</f>
        <v>0.50587905012720225</v>
      </c>
    </row>
    <row r="72" spans="1:12">
      <c r="A72" s="162">
        <f>+'Pool Lbs &amp; Component Lbs'!A77</f>
        <v>2005</v>
      </c>
      <c r="B72" s="163" t="str">
        <f>+'Pool Lbs &amp; Component Lbs'!B77</f>
        <v>AUGUST</v>
      </c>
      <c r="C72" s="197">
        <f>+'Pool Lbs &amp; Component Lbs'!I77/'Pool Lbs &amp; Component Lbs'!N77</f>
        <v>9.6276331283576613E-2</v>
      </c>
      <c r="D72" s="178">
        <f>+'Pool Lbs &amp; Component Lbs'!J77/'Pool Lbs &amp; Component Lbs'!N77</f>
        <v>6.2883534961458334E-2</v>
      </c>
      <c r="E72" s="178">
        <f>+'Pool Lbs &amp; Component Lbs'!K77/'Pool Lbs &amp; Component Lbs'!N77</f>
        <v>0.10153570612927514</v>
      </c>
      <c r="F72" s="178">
        <f>+'Pool Lbs &amp; Component Lbs'!L77/'Pool Lbs &amp; Component Lbs'!N77</f>
        <v>0.28735491994072865</v>
      </c>
      <c r="G72" s="204">
        <f>+'Pool Lbs &amp; Component Lbs'!M77/'Pool Lbs &amp; Component Lbs'!N77</f>
        <v>0.45194950768496123</v>
      </c>
      <c r="H72" s="210">
        <f>+'Pool Lbs &amp; Component Lbs'!P77/'Pool Lbs &amp; Component Lbs'!$U77</f>
        <v>0.1721387449495129</v>
      </c>
      <c r="I72" s="179">
        <f>+'Pool Lbs &amp; Component Lbs'!Q77/'Pool Lbs &amp; Component Lbs'!$U77</f>
        <v>4.2259159695452048E-2</v>
      </c>
      <c r="J72" s="179">
        <f>+'Pool Lbs &amp; Component Lbs'!R77/'Pool Lbs &amp; Component Lbs'!$U77</f>
        <v>3.2913380206233994E-2</v>
      </c>
      <c r="K72" s="179">
        <f>+'Pool Lbs &amp; Component Lbs'!S77/'Pool Lbs &amp; Component Lbs'!$U77</f>
        <v>0.25831993629859551</v>
      </c>
      <c r="L72" s="180">
        <f>+'Pool Lbs &amp; Component Lbs'!T77/'Pool Lbs &amp; Component Lbs'!$U77</f>
        <v>0.49436877885020553</v>
      </c>
    </row>
    <row r="73" spans="1:12">
      <c r="A73" s="162">
        <f>+'Pool Lbs &amp; Component Lbs'!A78</f>
        <v>2005</v>
      </c>
      <c r="B73" s="163" t="str">
        <f>+'Pool Lbs &amp; Component Lbs'!B78</f>
        <v>SEPTEMBER</v>
      </c>
      <c r="C73" s="197">
        <f>+'Pool Lbs &amp; Component Lbs'!I78/'Pool Lbs &amp; Component Lbs'!N78</f>
        <v>9.7866395184454474E-2</v>
      </c>
      <c r="D73" s="178">
        <f>+'Pool Lbs &amp; Component Lbs'!J78/'Pool Lbs &amp; Component Lbs'!N78</f>
        <v>5.7141873537597927E-2</v>
      </c>
      <c r="E73" s="178">
        <f>+'Pool Lbs &amp; Component Lbs'!K78/'Pool Lbs &amp; Component Lbs'!N78</f>
        <v>8.0060182195245633E-2</v>
      </c>
      <c r="F73" s="178">
        <f>+'Pool Lbs &amp; Component Lbs'!L78/'Pool Lbs &amp; Component Lbs'!N78</f>
        <v>0.32196964125594801</v>
      </c>
      <c r="G73" s="204">
        <f>+'Pool Lbs &amp; Component Lbs'!M78/'Pool Lbs &amp; Component Lbs'!N78</f>
        <v>0.44296190782675393</v>
      </c>
      <c r="H73" s="210">
        <f>+'Pool Lbs &amp; Component Lbs'!P78/'Pool Lbs &amp; Component Lbs'!$U78</f>
        <v>0.18106397475552385</v>
      </c>
      <c r="I73" s="179">
        <f>+'Pool Lbs &amp; Component Lbs'!Q78/'Pool Lbs &amp; Component Lbs'!$U78</f>
        <v>3.7744939813998346E-2</v>
      </c>
      <c r="J73" s="179">
        <f>+'Pool Lbs &amp; Component Lbs'!R78/'Pool Lbs &amp; Component Lbs'!$U78</f>
        <v>2.66436015405529E-2</v>
      </c>
      <c r="K73" s="179">
        <f>+'Pool Lbs &amp; Component Lbs'!S78/'Pool Lbs &amp; Component Lbs'!$U78</f>
        <v>0.2761049927837908</v>
      </c>
      <c r="L73" s="180">
        <f>+'Pool Lbs &amp; Component Lbs'!T78/'Pool Lbs &amp; Component Lbs'!$U78</f>
        <v>0.47844249110613413</v>
      </c>
    </row>
    <row r="74" spans="1:12">
      <c r="A74" s="162">
        <f>+'Pool Lbs &amp; Component Lbs'!A79</f>
        <v>2005</v>
      </c>
      <c r="B74" s="163" t="str">
        <f>+'Pool Lbs &amp; Component Lbs'!B79</f>
        <v>OCTOBER</v>
      </c>
      <c r="C74" s="197">
        <f>+'Pool Lbs &amp; Component Lbs'!I79/'Pool Lbs &amp; Component Lbs'!N79</f>
        <v>9.2120450229428219E-2</v>
      </c>
      <c r="D74" s="178">
        <f>+'Pool Lbs &amp; Component Lbs'!J79/'Pool Lbs &amp; Component Lbs'!N79</f>
        <v>5.860903564522775E-2</v>
      </c>
      <c r="E74" s="178">
        <f>+'Pool Lbs &amp; Component Lbs'!K79/'Pool Lbs &amp; Component Lbs'!N79</f>
        <v>7.2155191270369498E-2</v>
      </c>
      <c r="F74" s="178">
        <f>+'Pool Lbs &amp; Component Lbs'!L79/'Pool Lbs &amp; Component Lbs'!N79</f>
        <v>0.32633990019949871</v>
      </c>
      <c r="G74" s="204">
        <f>+'Pool Lbs &amp; Component Lbs'!M79/'Pool Lbs &amp; Component Lbs'!N79</f>
        <v>0.45077542265547582</v>
      </c>
      <c r="H74" s="210">
        <f>+'Pool Lbs &amp; Component Lbs'!P79/'Pool Lbs &amp; Component Lbs'!$U79</f>
        <v>0.17728358791077334</v>
      </c>
      <c r="I74" s="179">
        <f>+'Pool Lbs &amp; Component Lbs'!Q79/'Pool Lbs &amp; Component Lbs'!$U79</f>
        <v>3.7849384292059987E-2</v>
      </c>
      <c r="J74" s="179">
        <f>+'Pool Lbs &amp; Component Lbs'!R79/'Pool Lbs &amp; Component Lbs'!$U79</f>
        <v>2.7420062206923522E-2</v>
      </c>
      <c r="K74" s="179">
        <f>+'Pool Lbs &amp; Component Lbs'!S79/'Pool Lbs &amp; Component Lbs'!$U79</f>
        <v>0.27199705947043834</v>
      </c>
      <c r="L74" s="180">
        <f>+'Pool Lbs &amp; Component Lbs'!T79/'Pool Lbs &amp; Component Lbs'!$U79</f>
        <v>0.48544990611980482</v>
      </c>
    </row>
    <row r="75" spans="1:12">
      <c r="A75" s="162">
        <f>+'Pool Lbs &amp; Component Lbs'!A80</f>
        <v>2005</v>
      </c>
      <c r="B75" s="163" t="str">
        <f>+'Pool Lbs &amp; Component Lbs'!B80</f>
        <v>NOVEMBER</v>
      </c>
      <c r="C75" s="197">
        <f>+'Pool Lbs &amp; Component Lbs'!I80/'Pool Lbs &amp; Component Lbs'!N80</f>
        <v>9.2995795510498025E-2</v>
      </c>
      <c r="D75" s="178">
        <f>+'Pool Lbs &amp; Component Lbs'!J80/'Pool Lbs &amp; Component Lbs'!N80</f>
        <v>7.0769942358208646E-2</v>
      </c>
      <c r="E75" s="178">
        <f>+'Pool Lbs &amp; Component Lbs'!K80/'Pool Lbs &amp; Component Lbs'!N80</f>
        <v>5.4262748886584937E-2</v>
      </c>
      <c r="F75" s="178">
        <f>+'Pool Lbs &amp; Component Lbs'!L80/'Pool Lbs &amp; Component Lbs'!N80</f>
        <v>0.32788009039005039</v>
      </c>
      <c r="G75" s="204">
        <f>+'Pool Lbs &amp; Component Lbs'!M80/'Pool Lbs &amp; Component Lbs'!N80</f>
        <v>0.45409142285465798</v>
      </c>
      <c r="H75" s="210">
        <f>+'Pool Lbs &amp; Component Lbs'!P80/'Pool Lbs &amp; Component Lbs'!$U80</f>
        <v>0.17566797256537878</v>
      </c>
      <c r="I75" s="179">
        <f>+'Pool Lbs &amp; Component Lbs'!Q80/'Pool Lbs &amp; Component Lbs'!$U80</f>
        <v>4.0631723297302094E-2</v>
      </c>
      <c r="J75" s="179">
        <f>+'Pool Lbs &amp; Component Lbs'!R80/'Pool Lbs &amp; Component Lbs'!$U80</f>
        <v>2.2743665468121552E-2</v>
      </c>
      <c r="K75" s="179">
        <f>+'Pool Lbs &amp; Component Lbs'!S80/'Pool Lbs &amp; Component Lbs'!$U80</f>
        <v>0.26638950201907713</v>
      </c>
      <c r="L75" s="180">
        <f>+'Pool Lbs &amp; Component Lbs'!T80/'Pool Lbs &amp; Component Lbs'!$U80</f>
        <v>0.49456713665012048</v>
      </c>
    </row>
    <row r="76" spans="1:12" ht="15.75" thickBot="1">
      <c r="A76" s="172">
        <f>+'Pool Lbs &amp; Component Lbs'!A81</f>
        <v>2005</v>
      </c>
      <c r="B76" s="173" t="str">
        <f>+'Pool Lbs &amp; Component Lbs'!B81</f>
        <v>DECEMBER</v>
      </c>
      <c r="C76" s="200">
        <f>+'Pool Lbs &amp; Component Lbs'!I81/'Pool Lbs &amp; Component Lbs'!N81</f>
        <v>8.8900465441598034E-2</v>
      </c>
      <c r="D76" s="187">
        <f>+'Pool Lbs &amp; Component Lbs'!J81/'Pool Lbs &amp; Component Lbs'!N81</f>
        <v>6.2774789121253297E-2</v>
      </c>
      <c r="E76" s="187">
        <f>+'Pool Lbs &amp; Component Lbs'!K81/'Pool Lbs &amp; Component Lbs'!N81</f>
        <v>3.5138237021033747E-2</v>
      </c>
      <c r="F76" s="187">
        <f>+'Pool Lbs &amp; Component Lbs'!L81/'Pool Lbs &amp; Component Lbs'!N81</f>
        <v>0.37801735164317085</v>
      </c>
      <c r="G76" s="207">
        <f>+'Pool Lbs &amp; Component Lbs'!M81/'Pool Lbs &amp; Component Lbs'!N81</f>
        <v>0.4351691567729441</v>
      </c>
      <c r="H76" s="213">
        <f>+'Pool Lbs &amp; Component Lbs'!P81/'Pool Lbs &amp; Component Lbs'!$U81</f>
        <v>0.16477771537498709</v>
      </c>
      <c r="I76" s="188">
        <f>+'Pool Lbs &amp; Component Lbs'!Q81/'Pool Lbs &amp; Component Lbs'!$U81</f>
        <v>3.8181289854046549E-2</v>
      </c>
      <c r="J76" s="188">
        <f>+'Pool Lbs &amp; Component Lbs'!R81/'Pool Lbs &amp; Component Lbs'!$U81</f>
        <v>1.5283742501606473E-2</v>
      </c>
      <c r="K76" s="188">
        <f>+'Pool Lbs &amp; Component Lbs'!S81/'Pool Lbs &amp; Component Lbs'!$U81</f>
        <v>0.29025991930157929</v>
      </c>
      <c r="L76" s="189">
        <f>+'Pool Lbs &amp; Component Lbs'!T81/'Pool Lbs &amp; Component Lbs'!$U81</f>
        <v>0.49149733296778059</v>
      </c>
    </row>
    <row r="77" spans="1:12" ht="15.75" thickTop="1">
      <c r="A77" s="168">
        <f>+'Pool Lbs &amp; Component Lbs'!A83</f>
        <v>2006</v>
      </c>
      <c r="B77" s="169" t="str">
        <f>+'Pool Lbs &amp; Component Lbs'!B83</f>
        <v>JANUARY</v>
      </c>
      <c r="C77" s="196">
        <f>+'Pool Lbs &amp; Component Lbs'!I83/'Pool Lbs &amp; Component Lbs'!N83</f>
        <v>8.7204611061738546E-2</v>
      </c>
      <c r="D77" s="174">
        <f>+'Pool Lbs &amp; Component Lbs'!J83/'Pool Lbs &amp; Component Lbs'!N83</f>
        <v>4.7795512435490357E-2</v>
      </c>
      <c r="E77" s="174">
        <f>+'Pool Lbs &amp; Component Lbs'!K83/'Pool Lbs &amp; Component Lbs'!N83</f>
        <v>5.787977838109977E-2</v>
      </c>
      <c r="F77" s="174">
        <f>+'Pool Lbs &amp; Component Lbs'!L83/'Pool Lbs &amp; Component Lbs'!N83</f>
        <v>0.37334437362089196</v>
      </c>
      <c r="G77" s="203">
        <f>+'Pool Lbs &amp; Component Lbs'!M83/'Pool Lbs &amp; Component Lbs'!N83</f>
        <v>0.43377572450077934</v>
      </c>
      <c r="H77" s="209">
        <f>+'Pool Lbs &amp; Component Lbs'!P83/'Pool Lbs &amp; Component Lbs'!$U83</f>
        <v>0.17247300777353097</v>
      </c>
      <c r="I77" s="175">
        <f>+'Pool Lbs &amp; Component Lbs'!Q83/'Pool Lbs &amp; Component Lbs'!$U83</f>
        <v>3.5809391982898883E-2</v>
      </c>
      <c r="J77" s="175">
        <f>+'Pool Lbs &amp; Component Lbs'!R83/'Pool Lbs &amp; Component Lbs'!$U83</f>
        <v>2.2855121831280224E-2</v>
      </c>
      <c r="K77" s="175">
        <f>+'Pool Lbs &amp; Component Lbs'!S83/'Pool Lbs &amp; Component Lbs'!$U83</f>
        <v>0.2856689769378935</v>
      </c>
      <c r="L77" s="176">
        <f>+'Pool Lbs &amp; Component Lbs'!T83/'Pool Lbs &amp; Component Lbs'!$U83</f>
        <v>0.48319350147439644</v>
      </c>
    </row>
    <row r="78" spans="1:12">
      <c r="A78" s="162">
        <f>+'Pool Lbs &amp; Component Lbs'!A84</f>
        <v>2006</v>
      </c>
      <c r="B78" s="163" t="str">
        <f>+'Pool Lbs &amp; Component Lbs'!B84</f>
        <v>FEBRUARY</v>
      </c>
      <c r="C78" s="197">
        <f>+'Pool Lbs &amp; Component Lbs'!I84/'Pool Lbs &amp; Component Lbs'!N84</f>
        <v>8.5670141124896695E-2</v>
      </c>
      <c r="D78" s="178">
        <f>+'Pool Lbs &amp; Component Lbs'!J84/'Pool Lbs &amp; Component Lbs'!N84</f>
        <v>5.0313077097377742E-2</v>
      </c>
      <c r="E78" s="178">
        <f>+'Pool Lbs &amp; Component Lbs'!K84/'Pool Lbs &amp; Component Lbs'!N84</f>
        <v>5.6562669253887733E-2</v>
      </c>
      <c r="F78" s="178">
        <f>+'Pool Lbs &amp; Component Lbs'!L84/'Pool Lbs &amp; Component Lbs'!N84</f>
        <v>0.37516262207867535</v>
      </c>
      <c r="G78" s="204">
        <f>+'Pool Lbs &amp; Component Lbs'!M84/'Pool Lbs &amp; Component Lbs'!N84</f>
        <v>0.43229149044516252</v>
      </c>
      <c r="H78" s="210">
        <f>+'Pool Lbs &amp; Component Lbs'!P84/'Pool Lbs &amp; Component Lbs'!$U84</f>
        <v>0.16314983165826927</v>
      </c>
      <c r="I78" s="179">
        <f>+'Pool Lbs &amp; Component Lbs'!Q84/'Pool Lbs &amp; Component Lbs'!$U84</f>
        <v>3.7386889497252836E-2</v>
      </c>
      <c r="J78" s="179">
        <f>+'Pool Lbs &amp; Component Lbs'!R84/'Pool Lbs &amp; Component Lbs'!$U84</f>
        <v>2.4180004009478815E-2</v>
      </c>
      <c r="K78" s="179">
        <f>+'Pool Lbs &amp; Component Lbs'!S84/'Pool Lbs &amp; Component Lbs'!$U84</f>
        <v>0.28202312389966799</v>
      </c>
      <c r="L78" s="180">
        <f>+'Pool Lbs &amp; Component Lbs'!T84/'Pool Lbs &amp; Component Lbs'!$U84</f>
        <v>0.4932601509353311</v>
      </c>
    </row>
    <row r="79" spans="1:12">
      <c r="A79" s="162">
        <f>+'Pool Lbs &amp; Component Lbs'!A85</f>
        <v>2006</v>
      </c>
      <c r="B79" s="163" t="str">
        <f>+'Pool Lbs &amp; Component Lbs'!B85</f>
        <v>MARCH</v>
      </c>
      <c r="C79" s="197">
        <f>+'Pool Lbs &amp; Component Lbs'!I85/'Pool Lbs &amp; Component Lbs'!N85</f>
        <v>8.7545447740416671E-2</v>
      </c>
      <c r="D79" s="178">
        <f>+'Pool Lbs &amp; Component Lbs'!J85/'Pool Lbs &amp; Component Lbs'!N85</f>
        <v>4.9560527232776888E-2</v>
      </c>
      <c r="E79" s="178">
        <f>+'Pool Lbs &amp; Component Lbs'!K85/'Pool Lbs &amp; Component Lbs'!N85</f>
        <v>6.749314643945159E-2</v>
      </c>
      <c r="F79" s="178">
        <f>+'Pool Lbs &amp; Component Lbs'!L85/'Pool Lbs &amp; Component Lbs'!N85</f>
        <v>0.36329518204732769</v>
      </c>
      <c r="G79" s="204">
        <f>+'Pool Lbs &amp; Component Lbs'!M85/'Pool Lbs &amp; Component Lbs'!N85</f>
        <v>0.43210569654002717</v>
      </c>
      <c r="H79" s="210">
        <f>+'Pool Lbs &amp; Component Lbs'!P85/'Pool Lbs &amp; Component Lbs'!$U85</f>
        <v>0.16737278565078342</v>
      </c>
      <c r="I79" s="179">
        <f>+'Pool Lbs &amp; Component Lbs'!Q85/'Pool Lbs &amp; Component Lbs'!$U85</f>
        <v>3.5325392314526749E-2</v>
      </c>
      <c r="J79" s="179">
        <f>+'Pool Lbs &amp; Component Lbs'!R85/'Pool Lbs &amp; Component Lbs'!$U85</f>
        <v>2.6416116166182696E-2</v>
      </c>
      <c r="K79" s="179">
        <f>+'Pool Lbs &amp; Component Lbs'!S85/'Pool Lbs &amp; Component Lbs'!$U85</f>
        <v>0.27854486716604782</v>
      </c>
      <c r="L79" s="180">
        <f>+'Pool Lbs &amp; Component Lbs'!T85/'Pool Lbs &amp; Component Lbs'!$U85</f>
        <v>0.49234083870245932</v>
      </c>
    </row>
    <row r="80" spans="1:12">
      <c r="A80" s="162">
        <f>+'Pool Lbs &amp; Component Lbs'!A86</f>
        <v>2006</v>
      </c>
      <c r="B80" s="163" t="str">
        <f>+'Pool Lbs &amp; Component Lbs'!B86</f>
        <v>APRIL</v>
      </c>
      <c r="C80" s="197">
        <f>+'Pool Lbs &amp; Component Lbs'!I86/'Pool Lbs &amp; Component Lbs'!N86</f>
        <v>8.1959515088406404E-2</v>
      </c>
      <c r="D80" s="178">
        <f>+'Pool Lbs &amp; Component Lbs'!J86/'Pool Lbs &amp; Component Lbs'!N86</f>
        <v>5.0542848552571497E-2</v>
      </c>
      <c r="E80" s="178">
        <f>+'Pool Lbs &amp; Component Lbs'!K86/'Pool Lbs &amp; Component Lbs'!N86</f>
        <v>6.7544328630641998E-2</v>
      </c>
      <c r="F80" s="178">
        <f>+'Pool Lbs &amp; Component Lbs'!L86/'Pool Lbs &amp; Component Lbs'!N86</f>
        <v>0.354632159219266</v>
      </c>
      <c r="G80" s="204">
        <f>+'Pool Lbs &amp; Component Lbs'!M86/'Pool Lbs &amp; Component Lbs'!N86</f>
        <v>0.44532114850911408</v>
      </c>
      <c r="H80" s="210">
        <f>+'Pool Lbs &amp; Component Lbs'!P86/'Pool Lbs &amp; Component Lbs'!$U86</f>
        <v>0.15435253167010587</v>
      </c>
      <c r="I80" s="179">
        <f>+'Pool Lbs &amp; Component Lbs'!Q86/'Pool Lbs &amp; Component Lbs'!$U86</f>
        <v>3.5688579003965541E-2</v>
      </c>
      <c r="J80" s="179">
        <f>+'Pool Lbs &amp; Component Lbs'!R86/'Pool Lbs &amp; Component Lbs'!$U86</f>
        <v>2.6644798808931815E-2</v>
      </c>
      <c r="K80" s="179">
        <f>+'Pool Lbs &amp; Component Lbs'!S86/'Pool Lbs &amp; Component Lbs'!$U86</f>
        <v>0.28158150075357979</v>
      </c>
      <c r="L80" s="180">
        <f>+'Pool Lbs &amp; Component Lbs'!T86/'Pool Lbs &amp; Component Lbs'!$U86</f>
        <v>0.50173258976341695</v>
      </c>
    </row>
    <row r="81" spans="1:12">
      <c r="A81" s="162">
        <f>+'Pool Lbs &amp; Component Lbs'!A87</f>
        <v>2006</v>
      </c>
      <c r="B81" s="163" t="str">
        <f>+'Pool Lbs &amp; Component Lbs'!B87</f>
        <v>MAY</v>
      </c>
      <c r="C81" s="197">
        <f>+'Pool Lbs &amp; Component Lbs'!I87/'Pool Lbs &amp; Component Lbs'!N87</f>
        <v>8.7785439155617637E-2</v>
      </c>
      <c r="D81" s="178">
        <f>+'Pool Lbs &amp; Component Lbs'!J87/'Pool Lbs &amp; Component Lbs'!N87</f>
        <v>5.4977110352839934E-2</v>
      </c>
      <c r="E81" s="178">
        <f>+'Pool Lbs &amp; Component Lbs'!K87/'Pool Lbs &amp; Component Lbs'!N87</f>
        <v>7.6476963311164312E-2</v>
      </c>
      <c r="F81" s="178">
        <f>+'Pool Lbs &amp; Component Lbs'!L87/'Pool Lbs &amp; Component Lbs'!N87</f>
        <v>0.33471940033121605</v>
      </c>
      <c r="G81" s="204">
        <f>+'Pool Lbs &amp; Component Lbs'!M87/'Pool Lbs &amp; Component Lbs'!N87</f>
        <v>0.44604108684916205</v>
      </c>
      <c r="H81" s="210">
        <f>+'Pool Lbs &amp; Component Lbs'!P87/'Pool Lbs &amp; Component Lbs'!$U87</f>
        <v>0.16573495907589803</v>
      </c>
      <c r="I81" s="179">
        <f>+'Pool Lbs &amp; Component Lbs'!Q87/'Pool Lbs &amp; Component Lbs'!$U87</f>
        <v>3.7634897799673078E-2</v>
      </c>
      <c r="J81" s="179">
        <f>+'Pool Lbs &amp; Component Lbs'!R87/'Pool Lbs &amp; Component Lbs'!$U87</f>
        <v>2.8895943413507829E-2</v>
      </c>
      <c r="K81" s="179">
        <f>+'Pool Lbs &amp; Component Lbs'!S87/'Pool Lbs &amp; Component Lbs'!$U87</f>
        <v>0.26702005200794054</v>
      </c>
      <c r="L81" s="180">
        <f>+'Pool Lbs &amp; Component Lbs'!T87/'Pool Lbs &amp; Component Lbs'!$U87</f>
        <v>0.50071414770298051</v>
      </c>
    </row>
    <row r="82" spans="1:12">
      <c r="A82" s="162">
        <f>+'Pool Lbs &amp; Component Lbs'!A88</f>
        <v>2006</v>
      </c>
      <c r="B82" s="163" t="str">
        <f>+'Pool Lbs &amp; Component Lbs'!B88</f>
        <v>JUNE</v>
      </c>
      <c r="C82" s="197">
        <f>+'Pool Lbs &amp; Component Lbs'!I88/'Pool Lbs &amp; Component Lbs'!N88</f>
        <v>9.0689735383610776E-2</v>
      </c>
      <c r="D82" s="178">
        <f>+'Pool Lbs &amp; Component Lbs'!J88/'Pool Lbs &amp; Component Lbs'!N88</f>
        <v>5.5776304140414422E-2</v>
      </c>
      <c r="E82" s="178">
        <f>+'Pool Lbs &amp; Component Lbs'!K88/'Pool Lbs &amp; Component Lbs'!N88</f>
        <v>8.8975805030651431E-2</v>
      </c>
      <c r="F82" s="178">
        <f>+'Pool Lbs &amp; Component Lbs'!L88/'Pool Lbs &amp; Component Lbs'!N88</f>
        <v>0.31762401961816805</v>
      </c>
      <c r="G82" s="204">
        <f>+'Pool Lbs &amp; Component Lbs'!M88/'Pool Lbs &amp; Component Lbs'!N88</f>
        <v>0.44693413582715535</v>
      </c>
      <c r="H82" s="210">
        <f>+'Pool Lbs &amp; Component Lbs'!P88/'Pool Lbs &amp; Component Lbs'!$U88</f>
        <v>0.16368759726816398</v>
      </c>
      <c r="I82" s="179">
        <f>+'Pool Lbs &amp; Component Lbs'!Q88/'Pool Lbs &amp; Component Lbs'!$U88</f>
        <v>3.7682880251773736E-2</v>
      </c>
      <c r="J82" s="179">
        <f>+'Pool Lbs &amp; Component Lbs'!R88/'Pool Lbs &amp; Component Lbs'!$U88</f>
        <v>3.2733426830094947E-2</v>
      </c>
      <c r="K82" s="179">
        <f>+'Pool Lbs &amp; Component Lbs'!S88/'Pool Lbs &amp; Component Lbs'!$U88</f>
        <v>0.26553208522193844</v>
      </c>
      <c r="L82" s="180">
        <f>+'Pool Lbs &amp; Component Lbs'!T88/'Pool Lbs &amp; Component Lbs'!$U88</f>
        <v>0.50036401042802892</v>
      </c>
    </row>
    <row r="83" spans="1:12">
      <c r="A83" s="162">
        <f>+'Pool Lbs &amp; Component Lbs'!A89</f>
        <v>2006</v>
      </c>
      <c r="B83" s="163" t="str">
        <f>+'Pool Lbs &amp; Component Lbs'!B89</f>
        <v>JULY</v>
      </c>
      <c r="C83" s="197">
        <f>+'Pool Lbs &amp; Component Lbs'!I89/'Pool Lbs &amp; Component Lbs'!N89</f>
        <v>9.3196834307989085E-2</v>
      </c>
      <c r="D83" s="178">
        <f>+'Pool Lbs &amp; Component Lbs'!J89/'Pool Lbs &amp; Component Lbs'!N89</f>
        <v>5.6244799310416954E-2</v>
      </c>
      <c r="E83" s="178">
        <f>+'Pool Lbs &amp; Component Lbs'!K89/'Pool Lbs &amp; Component Lbs'!N89</f>
        <v>9.1589221603601681E-2</v>
      </c>
      <c r="F83" s="178">
        <f>+'Pool Lbs &amp; Component Lbs'!L89/'Pool Lbs &amp; Component Lbs'!N89</f>
        <v>0.30317334753664693</v>
      </c>
      <c r="G83" s="204">
        <f>+'Pool Lbs &amp; Component Lbs'!M89/'Pool Lbs &amp; Component Lbs'!N89</f>
        <v>0.45579579724134539</v>
      </c>
      <c r="H83" s="210">
        <f>+'Pool Lbs &amp; Component Lbs'!P89/'Pool Lbs &amp; Component Lbs'!$U89</f>
        <v>0.16705885207047261</v>
      </c>
      <c r="I83" s="179">
        <f>+'Pool Lbs &amp; Component Lbs'!Q89/'Pool Lbs &amp; Component Lbs'!$U89</f>
        <v>4.144600669644663E-2</v>
      </c>
      <c r="J83" s="179">
        <f>+'Pool Lbs &amp; Component Lbs'!R89/'Pool Lbs &amp; Component Lbs'!$U89</f>
        <v>3.3519195580562801E-2</v>
      </c>
      <c r="K83" s="179">
        <f>+'Pool Lbs &amp; Component Lbs'!S89/'Pool Lbs &amp; Component Lbs'!$U89</f>
        <v>0.24801955217876409</v>
      </c>
      <c r="L83" s="180">
        <f>+'Pool Lbs &amp; Component Lbs'!T89/'Pool Lbs &amp; Component Lbs'!$U89</f>
        <v>0.50995639347375388</v>
      </c>
    </row>
    <row r="84" spans="1:12">
      <c r="A84" s="162">
        <f>+'Pool Lbs &amp; Component Lbs'!A90</f>
        <v>2006</v>
      </c>
      <c r="B84" s="163" t="str">
        <f>+'Pool Lbs &amp; Component Lbs'!B90</f>
        <v>AUGUST</v>
      </c>
      <c r="C84" s="197">
        <f>+'Pool Lbs &amp; Component Lbs'!I90/'Pool Lbs &amp; Component Lbs'!N90</f>
        <v>9.4312157391388249E-2</v>
      </c>
      <c r="D84" s="178">
        <f>+'Pool Lbs &amp; Component Lbs'!J90/'Pool Lbs &amp; Component Lbs'!N90</f>
        <v>6.7972161118857274E-2</v>
      </c>
      <c r="E84" s="178">
        <f>+'Pool Lbs &amp; Component Lbs'!K90/'Pool Lbs &amp; Component Lbs'!N90</f>
        <v>9.4613675022281449E-2</v>
      </c>
      <c r="F84" s="178">
        <f>+'Pool Lbs &amp; Component Lbs'!L90/'Pool Lbs &amp; Component Lbs'!N90</f>
        <v>0.28183166223482936</v>
      </c>
      <c r="G84" s="204">
        <f>+'Pool Lbs &amp; Component Lbs'!M90/'Pool Lbs &amp; Component Lbs'!N90</f>
        <v>0.46127034423264368</v>
      </c>
      <c r="H84" s="210">
        <f>+'Pool Lbs &amp; Component Lbs'!P90/'Pool Lbs &amp; Component Lbs'!$U90</f>
        <v>0.17065865586990336</v>
      </c>
      <c r="I84" s="179">
        <f>+'Pool Lbs &amp; Component Lbs'!Q90/'Pool Lbs &amp; Component Lbs'!$U90</f>
        <v>4.1977395388923318E-2</v>
      </c>
      <c r="J84" s="179">
        <f>+'Pool Lbs &amp; Component Lbs'!R90/'Pool Lbs &amp; Component Lbs'!$U90</f>
        <v>3.2357733398828616E-2</v>
      </c>
      <c r="K84" s="179">
        <f>+'Pool Lbs &amp; Component Lbs'!S90/'Pool Lbs &amp; Component Lbs'!$U90</f>
        <v>0.24011623226368156</v>
      </c>
      <c r="L84" s="180">
        <f>+'Pool Lbs &amp; Component Lbs'!T90/'Pool Lbs &amp; Component Lbs'!$U90</f>
        <v>0.51488998307866318</v>
      </c>
    </row>
    <row r="85" spans="1:12">
      <c r="A85" s="162">
        <f>+'Pool Lbs &amp; Component Lbs'!A91</f>
        <v>2006</v>
      </c>
      <c r="B85" s="163" t="str">
        <f>+'Pool Lbs &amp; Component Lbs'!B91</f>
        <v>SEPTEMBER</v>
      </c>
      <c r="C85" s="197">
        <f>+'Pool Lbs &amp; Component Lbs'!I91/'Pool Lbs &amp; Component Lbs'!N91</f>
        <v>9.0047612233890587E-2</v>
      </c>
      <c r="D85" s="178">
        <f>+'Pool Lbs &amp; Component Lbs'!J91/'Pool Lbs &amp; Component Lbs'!N91</f>
        <v>6.0836993390118659E-2</v>
      </c>
      <c r="E85" s="178">
        <f>+'Pool Lbs &amp; Component Lbs'!K91/'Pool Lbs &amp; Component Lbs'!N91</f>
        <v>7.0497494698658E-2</v>
      </c>
      <c r="F85" s="178">
        <f>+'Pool Lbs &amp; Component Lbs'!L91/'Pool Lbs &amp; Component Lbs'!N91</f>
        <v>0.31541074820327758</v>
      </c>
      <c r="G85" s="204">
        <f>+'Pool Lbs &amp; Component Lbs'!M91/'Pool Lbs &amp; Component Lbs'!N91</f>
        <v>0.46320715147405517</v>
      </c>
      <c r="H85" s="210">
        <f>+'Pool Lbs &amp; Component Lbs'!P91/'Pool Lbs &amp; Component Lbs'!$U91</f>
        <v>0.17280604539599978</v>
      </c>
      <c r="I85" s="179">
        <f>+'Pool Lbs &amp; Component Lbs'!Q91/'Pool Lbs &amp; Component Lbs'!$U91</f>
        <v>4.0001187688592552E-2</v>
      </c>
      <c r="J85" s="179">
        <f>+'Pool Lbs &amp; Component Lbs'!R91/'Pool Lbs &amp; Component Lbs'!$U91</f>
        <v>2.383750923993674E-2</v>
      </c>
      <c r="K85" s="179">
        <f>+'Pool Lbs &amp; Component Lbs'!S91/'Pool Lbs &amp; Component Lbs'!$U91</f>
        <v>0.25250619371777233</v>
      </c>
      <c r="L85" s="180">
        <f>+'Pool Lbs &amp; Component Lbs'!T91/'Pool Lbs &amp; Component Lbs'!$U91</f>
        <v>0.51084906395769858</v>
      </c>
    </row>
    <row r="86" spans="1:12">
      <c r="A86" s="162">
        <f>+'Pool Lbs &amp; Component Lbs'!A92</f>
        <v>2006</v>
      </c>
      <c r="B86" s="163" t="str">
        <f>+'Pool Lbs &amp; Component Lbs'!B92</f>
        <v>OCTOBER</v>
      </c>
      <c r="C86" s="197">
        <f>+'Pool Lbs &amp; Component Lbs'!I92/'Pool Lbs &amp; Component Lbs'!N92</f>
        <v>9.2658859994651233E-2</v>
      </c>
      <c r="D86" s="178">
        <f>+'Pool Lbs &amp; Component Lbs'!J92/'Pool Lbs &amp; Component Lbs'!N92</f>
        <v>6.1822701670086889E-2</v>
      </c>
      <c r="E86" s="178">
        <f>+'Pool Lbs &amp; Component Lbs'!K92/'Pool Lbs &amp; Component Lbs'!N92</f>
        <v>6.0705723917044908E-2</v>
      </c>
      <c r="F86" s="178">
        <f>+'Pool Lbs &amp; Component Lbs'!L92/'Pool Lbs &amp; Component Lbs'!N92</f>
        <v>0.32534725105587387</v>
      </c>
      <c r="G86" s="204">
        <f>+'Pool Lbs &amp; Component Lbs'!M92/'Pool Lbs &amp; Component Lbs'!N92</f>
        <v>0.45946546336234306</v>
      </c>
      <c r="H86" s="210">
        <f>+'Pool Lbs &amp; Component Lbs'!P92/'Pool Lbs &amp; Component Lbs'!$U92</f>
        <v>0.18077014959853721</v>
      </c>
      <c r="I86" s="179">
        <f>+'Pool Lbs &amp; Component Lbs'!Q92/'Pool Lbs &amp; Component Lbs'!$U92</f>
        <v>4.3324177093597191E-2</v>
      </c>
      <c r="J86" s="179">
        <f>+'Pool Lbs &amp; Component Lbs'!R92/'Pool Lbs &amp; Component Lbs'!$U92</f>
        <v>2.3851499869380229E-2</v>
      </c>
      <c r="K86" s="179">
        <f>+'Pool Lbs &amp; Component Lbs'!S92/'Pool Lbs &amp; Component Lbs'!$U92</f>
        <v>0.25009566591165838</v>
      </c>
      <c r="L86" s="180">
        <f>+'Pool Lbs &amp; Component Lbs'!T92/'Pool Lbs &amp; Component Lbs'!$U92</f>
        <v>0.50195850752682702</v>
      </c>
    </row>
    <row r="87" spans="1:12">
      <c r="A87" s="162">
        <f>+'Pool Lbs &amp; Component Lbs'!A93</f>
        <v>2006</v>
      </c>
      <c r="B87" s="163" t="str">
        <f>+'Pool Lbs &amp; Component Lbs'!B93</f>
        <v>NOVEMBER</v>
      </c>
      <c r="C87" s="197">
        <f>+'Pool Lbs &amp; Component Lbs'!I93/'Pool Lbs &amp; Component Lbs'!N93</f>
        <v>9.0904517272043725E-2</v>
      </c>
      <c r="D87" s="178">
        <f>+'Pool Lbs &amp; Component Lbs'!J93/'Pool Lbs &amp; Component Lbs'!N93</f>
        <v>7.4316195315577094E-2</v>
      </c>
      <c r="E87" s="178">
        <f>+'Pool Lbs &amp; Component Lbs'!K93/'Pool Lbs &amp; Component Lbs'!N93</f>
        <v>5.6765928302464526E-2</v>
      </c>
      <c r="F87" s="178">
        <f>+'Pool Lbs &amp; Component Lbs'!L93/'Pool Lbs &amp; Component Lbs'!N93</f>
        <v>0.33280707999080628</v>
      </c>
      <c r="G87" s="204">
        <f>+'Pool Lbs &amp; Component Lbs'!M93/'Pool Lbs &amp; Component Lbs'!N93</f>
        <v>0.44520627911910837</v>
      </c>
      <c r="H87" s="210">
        <f>+'Pool Lbs &amp; Component Lbs'!P93/'Pool Lbs &amp; Component Lbs'!$U93</f>
        <v>0.17459953154294874</v>
      </c>
      <c r="I87" s="179">
        <f>+'Pool Lbs &amp; Component Lbs'!Q93/'Pool Lbs &amp; Component Lbs'!$U93</f>
        <v>4.181488950402229E-2</v>
      </c>
      <c r="J87" s="179">
        <f>+'Pool Lbs &amp; Component Lbs'!R93/'Pool Lbs &amp; Component Lbs'!$U93</f>
        <v>2.2705040341626188E-2</v>
      </c>
      <c r="K87" s="179">
        <f>+'Pool Lbs &amp; Component Lbs'!S93/'Pool Lbs &amp; Component Lbs'!$U93</f>
        <v>0.26928214542408041</v>
      </c>
      <c r="L87" s="180">
        <f>+'Pool Lbs &amp; Component Lbs'!T93/'Pool Lbs &amp; Component Lbs'!$U93</f>
        <v>0.4915983931873224</v>
      </c>
    </row>
    <row r="88" spans="1:12" ht="15.75" thickBot="1">
      <c r="A88" s="166">
        <f>+'Pool Lbs &amp; Component Lbs'!A94</f>
        <v>2006</v>
      </c>
      <c r="B88" s="167" t="str">
        <f>+'Pool Lbs &amp; Component Lbs'!B94</f>
        <v>DECEMBER</v>
      </c>
      <c r="C88" s="198">
        <f>+'Pool Lbs &amp; Component Lbs'!I94/'Pool Lbs &amp; Component Lbs'!N94</f>
        <v>8.5455690180988184E-2</v>
      </c>
      <c r="D88" s="181">
        <f>+'Pool Lbs &amp; Component Lbs'!J94/'Pool Lbs &amp; Component Lbs'!N94</f>
        <v>5.9386164243687936E-2</v>
      </c>
      <c r="E88" s="181">
        <f>+'Pool Lbs &amp; Component Lbs'!K94/'Pool Lbs &amp; Component Lbs'!N94</f>
        <v>3.4427855676651228E-2</v>
      </c>
      <c r="F88" s="181">
        <f>+'Pool Lbs &amp; Component Lbs'!L94/'Pool Lbs &amp; Component Lbs'!N94</f>
        <v>0.37010601212709116</v>
      </c>
      <c r="G88" s="205">
        <f>+'Pool Lbs &amp; Component Lbs'!M94/'Pool Lbs &amp; Component Lbs'!N94</f>
        <v>0.45062427777158154</v>
      </c>
      <c r="H88" s="211">
        <f>+'Pool Lbs &amp; Component Lbs'!P94/'Pool Lbs &amp; Component Lbs'!$U94</f>
        <v>0.16224255570136509</v>
      </c>
      <c r="I88" s="182">
        <f>+'Pool Lbs &amp; Component Lbs'!Q94/'Pool Lbs &amp; Component Lbs'!$U94</f>
        <v>3.8946154420027801E-2</v>
      </c>
      <c r="J88" s="182">
        <f>+'Pool Lbs &amp; Component Lbs'!R94/'Pool Lbs &amp; Component Lbs'!$U94</f>
        <v>1.4559375459301738E-2</v>
      </c>
      <c r="K88" s="182">
        <f>+'Pool Lbs &amp; Component Lbs'!S94/'Pool Lbs &amp; Component Lbs'!$U94</f>
        <v>0.2811708541059954</v>
      </c>
      <c r="L88" s="183">
        <f>+'Pool Lbs &amp; Component Lbs'!T94/'Pool Lbs &amp; Component Lbs'!$U94</f>
        <v>0.50308106031331001</v>
      </c>
    </row>
    <row r="89" spans="1:12" ht="15.75" thickTop="1">
      <c r="A89" s="170">
        <f>+'Pool Lbs &amp; Component Lbs'!A96</f>
        <v>2007</v>
      </c>
      <c r="B89" s="171" t="str">
        <f>+'Pool Lbs &amp; Component Lbs'!B96</f>
        <v>JANUARY</v>
      </c>
      <c r="C89" s="199">
        <f>+'Pool Lbs &amp; Component Lbs'!I96/'Pool Lbs &amp; Component Lbs'!N96</f>
        <v>8.6934336762843914E-2</v>
      </c>
      <c r="D89" s="184">
        <f>+'Pool Lbs &amp; Component Lbs'!J96/'Pool Lbs &amp; Component Lbs'!N96</f>
        <v>4.9614457232635897E-2</v>
      </c>
      <c r="E89" s="184">
        <f>+'Pool Lbs &amp; Component Lbs'!K96/'Pool Lbs &amp; Component Lbs'!N96</f>
        <v>4.9510160094046199E-2</v>
      </c>
      <c r="F89" s="184">
        <f>+'Pool Lbs &amp; Component Lbs'!L96/'Pool Lbs &amp; Component Lbs'!N96</f>
        <v>0.37587299273671199</v>
      </c>
      <c r="G89" s="206">
        <f>+'Pool Lbs &amp; Component Lbs'!M96/'Pool Lbs &amp; Component Lbs'!N96</f>
        <v>0.43806805317376202</v>
      </c>
      <c r="H89" s="212">
        <f>+'Pool Lbs &amp; Component Lbs'!P96/'Pool Lbs &amp; Component Lbs'!$U96</f>
        <v>0.17232766041030459</v>
      </c>
      <c r="I89" s="185">
        <f>+'Pool Lbs &amp; Component Lbs'!Q96/'Pool Lbs &amp; Component Lbs'!$U96</f>
        <v>3.8425526587150489E-2</v>
      </c>
      <c r="J89" s="185">
        <f>+'Pool Lbs &amp; Component Lbs'!R96/'Pool Lbs &amp; Component Lbs'!$U96</f>
        <v>2.181958092779249E-2</v>
      </c>
      <c r="K89" s="185">
        <f>+'Pool Lbs &amp; Component Lbs'!S96/'Pool Lbs &amp; Component Lbs'!$U96</f>
        <v>0.26816830211283521</v>
      </c>
      <c r="L89" s="186">
        <f>+'Pool Lbs &amp; Component Lbs'!T96/'Pool Lbs &amp; Component Lbs'!$U96</f>
        <v>0.49925892996191723</v>
      </c>
    </row>
    <row r="90" spans="1:12">
      <c r="A90" s="162">
        <f>+'Pool Lbs &amp; Component Lbs'!A97</f>
        <v>2006</v>
      </c>
      <c r="B90" s="163" t="str">
        <f>+'Pool Lbs &amp; Component Lbs'!B97</f>
        <v>FEBRUARY</v>
      </c>
      <c r="C90" s="197">
        <f>+'Pool Lbs &amp; Component Lbs'!I97/'Pool Lbs &amp; Component Lbs'!N97</f>
        <v>8.300237305073592E-2</v>
      </c>
      <c r="D90" s="178">
        <f>+'Pool Lbs &amp; Component Lbs'!J97/'Pool Lbs &amp; Component Lbs'!N97</f>
        <v>4.8887895090445985E-2</v>
      </c>
      <c r="E90" s="178">
        <f>+'Pool Lbs &amp; Component Lbs'!K97/'Pool Lbs &amp; Component Lbs'!N97</f>
        <v>6.0224676888001274E-2</v>
      </c>
      <c r="F90" s="178">
        <f>+'Pool Lbs &amp; Component Lbs'!L97/'Pool Lbs &amp; Component Lbs'!N97</f>
        <v>0.37492717100497847</v>
      </c>
      <c r="G90" s="204">
        <f>+'Pool Lbs &amp; Component Lbs'!M97/'Pool Lbs &amp; Component Lbs'!N97</f>
        <v>0.43295788396583834</v>
      </c>
      <c r="H90" s="210">
        <f>+'Pool Lbs &amp; Component Lbs'!P97/'Pool Lbs &amp; Component Lbs'!$U97</f>
        <v>0.16224785429507713</v>
      </c>
      <c r="I90" s="179">
        <f>+'Pool Lbs &amp; Component Lbs'!Q97/'Pool Lbs &amp; Component Lbs'!$U97</f>
        <v>3.5977057158069904E-2</v>
      </c>
      <c r="J90" s="179">
        <f>+'Pool Lbs &amp; Component Lbs'!R97/'Pool Lbs &amp; Component Lbs'!$U97</f>
        <v>2.524085520008169E-2</v>
      </c>
      <c r="K90" s="179">
        <f>+'Pool Lbs &amp; Component Lbs'!S97/'Pool Lbs &amp; Component Lbs'!$U97</f>
        <v>0.27398353595025443</v>
      </c>
      <c r="L90" s="180">
        <f>+'Pool Lbs &amp; Component Lbs'!T97/'Pool Lbs &amp; Component Lbs'!$U97</f>
        <v>0.50255069739651681</v>
      </c>
    </row>
    <row r="91" spans="1:12">
      <c r="A91" s="162">
        <f>+'Pool Lbs &amp; Component Lbs'!A98</f>
        <v>2007</v>
      </c>
      <c r="B91" s="163" t="str">
        <f>+'Pool Lbs &amp; Component Lbs'!B98</f>
        <v>MARCH</v>
      </c>
      <c r="C91" s="197">
        <f>+'Pool Lbs &amp; Component Lbs'!I98/'Pool Lbs &amp; Component Lbs'!N98</f>
        <v>8.2014909862385285E-2</v>
      </c>
      <c r="D91" s="178">
        <f>+'Pool Lbs &amp; Component Lbs'!J98/'Pool Lbs &amp; Component Lbs'!N98</f>
        <v>5.3594329136132678E-2</v>
      </c>
      <c r="E91" s="178">
        <f>+'Pool Lbs &amp; Component Lbs'!K98/'Pool Lbs &amp; Component Lbs'!N98</f>
        <v>6.2161944580414241E-2</v>
      </c>
      <c r="F91" s="178">
        <f>+'Pool Lbs &amp; Component Lbs'!L98/'Pool Lbs &amp; Component Lbs'!N98</f>
        <v>0.36411619531396483</v>
      </c>
      <c r="G91" s="204">
        <f>+'Pool Lbs &amp; Component Lbs'!M98/'Pool Lbs &amp; Component Lbs'!N98</f>
        <v>0.43811262110710297</v>
      </c>
      <c r="H91" s="210">
        <f>+'Pool Lbs &amp; Component Lbs'!P98/'Pool Lbs &amp; Component Lbs'!$U98</f>
        <v>0.15963144403284615</v>
      </c>
      <c r="I91" s="179">
        <f>+'Pool Lbs &amp; Component Lbs'!Q98/'Pool Lbs &amp; Component Lbs'!$U98</f>
        <v>3.8473052726452135E-2</v>
      </c>
      <c r="J91" s="179">
        <f>+'Pool Lbs &amp; Component Lbs'!R98/'Pool Lbs &amp; Component Lbs'!$U98</f>
        <v>2.6307560418442087E-2</v>
      </c>
      <c r="K91" s="179">
        <f>+'Pool Lbs &amp; Component Lbs'!S98/'Pool Lbs &amp; Component Lbs'!$U98</f>
        <v>0.26971610213822322</v>
      </c>
      <c r="L91" s="180">
        <f>+'Pool Lbs &amp; Component Lbs'!T98/'Pool Lbs &amp; Component Lbs'!$U98</f>
        <v>0.50587184068403646</v>
      </c>
    </row>
    <row r="92" spans="1:12">
      <c r="A92" s="162">
        <f>+'Pool Lbs &amp; Component Lbs'!A99</f>
        <v>2007</v>
      </c>
      <c r="B92" s="163" t="str">
        <f>+'Pool Lbs &amp; Component Lbs'!B99</f>
        <v>APRIL</v>
      </c>
      <c r="C92" s="197">
        <f>+'Pool Lbs &amp; Component Lbs'!I99/'Pool Lbs &amp; Component Lbs'!N99</f>
        <v>8.7307658051020545E-2</v>
      </c>
      <c r="D92" s="178">
        <f>+'Pool Lbs &amp; Component Lbs'!J99/'Pool Lbs &amp; Component Lbs'!N99</f>
        <v>5.5833801345339454E-2</v>
      </c>
      <c r="E92" s="178">
        <f>+'Pool Lbs &amp; Component Lbs'!K99/'Pool Lbs &amp; Component Lbs'!N99</f>
        <v>7.3867910927921193E-2</v>
      </c>
      <c r="F92" s="178">
        <f>+'Pool Lbs &amp; Component Lbs'!L99/'Pool Lbs &amp; Component Lbs'!N99</f>
        <v>0.35429533616670028</v>
      </c>
      <c r="G92" s="204">
        <f>+'Pool Lbs &amp; Component Lbs'!M99/'Pool Lbs &amp; Component Lbs'!N99</f>
        <v>0.42869529350901853</v>
      </c>
      <c r="H92" s="210">
        <f>+'Pool Lbs &amp; Component Lbs'!P99/'Pool Lbs &amp; Component Lbs'!$U99</f>
        <v>0.16177374161153849</v>
      </c>
      <c r="I92" s="179">
        <f>+'Pool Lbs &amp; Component Lbs'!Q99/'Pool Lbs &amp; Component Lbs'!$U99</f>
        <v>3.6758808952816441E-2</v>
      </c>
      <c r="J92" s="179">
        <f>+'Pool Lbs &amp; Component Lbs'!R99/'Pool Lbs &amp; Component Lbs'!$U99</f>
        <v>3.6008471973924351E-2</v>
      </c>
      <c r="K92" s="179">
        <f>+'Pool Lbs &amp; Component Lbs'!S99/'Pool Lbs &amp; Component Lbs'!$U99</f>
        <v>0.27143259764766881</v>
      </c>
      <c r="L92" s="180">
        <f>+'Pool Lbs &amp; Component Lbs'!T99/'Pool Lbs &amp; Component Lbs'!$U99</f>
        <v>0.4940263798140519</v>
      </c>
    </row>
    <row r="93" spans="1:12">
      <c r="A93" s="162">
        <f>+'Pool Lbs &amp; Component Lbs'!A100</f>
        <v>2007</v>
      </c>
      <c r="B93" s="163" t="str">
        <f>+'Pool Lbs &amp; Component Lbs'!B100</f>
        <v>MAY</v>
      </c>
      <c r="C93" s="197">
        <f>+'Pool Lbs &amp; Component Lbs'!I100/'Pool Lbs &amp; Component Lbs'!N100</f>
        <v>8.8036446512643723E-2</v>
      </c>
      <c r="D93" s="178">
        <f>+'Pool Lbs &amp; Component Lbs'!J100/'Pool Lbs &amp; Component Lbs'!N100</f>
        <v>6.6539464246197666E-2</v>
      </c>
      <c r="E93" s="178">
        <f>+'Pool Lbs &amp; Component Lbs'!K100/'Pool Lbs &amp; Component Lbs'!N100</f>
        <v>8.5497112558918648E-2</v>
      </c>
      <c r="F93" s="178">
        <f>+'Pool Lbs &amp; Component Lbs'!L100/'Pool Lbs &amp; Component Lbs'!N100</f>
        <v>0.31962394292577362</v>
      </c>
      <c r="G93" s="204">
        <f>+'Pool Lbs &amp; Component Lbs'!M100/'Pool Lbs &amp; Component Lbs'!N100</f>
        <v>0.44030303375646634</v>
      </c>
      <c r="H93" s="210">
        <f>+'Pool Lbs &amp; Component Lbs'!P100/'Pool Lbs &amp; Component Lbs'!$U100</f>
        <v>0.16829642061304537</v>
      </c>
      <c r="I93" s="179">
        <f>+'Pool Lbs &amp; Component Lbs'!Q100/'Pool Lbs &amp; Component Lbs'!$U100</f>
        <v>3.955851271082169E-2</v>
      </c>
      <c r="J93" s="179">
        <f>+'Pool Lbs &amp; Component Lbs'!R100/'Pool Lbs &amp; Component Lbs'!$U100</f>
        <v>3.4073549864763263E-2</v>
      </c>
      <c r="K93" s="179">
        <f>+'Pool Lbs &amp; Component Lbs'!S100/'Pool Lbs &amp; Component Lbs'!$U100</f>
        <v>0.25121705091367719</v>
      </c>
      <c r="L93" s="180">
        <f>+'Pool Lbs &amp; Component Lbs'!T100/'Pool Lbs &amp; Component Lbs'!$U100</f>
        <v>0.50685446589769256</v>
      </c>
    </row>
    <row r="94" spans="1:12">
      <c r="A94" s="162">
        <f>+'Pool Lbs &amp; Component Lbs'!A101</f>
        <v>2007</v>
      </c>
      <c r="B94" s="163" t="str">
        <f>+'Pool Lbs &amp; Component Lbs'!B101</f>
        <v>JUNE</v>
      </c>
      <c r="C94" s="197">
        <f>+'Pool Lbs &amp; Component Lbs'!I101/'Pool Lbs &amp; Component Lbs'!N101</f>
        <v>8.5198743405972499E-2</v>
      </c>
      <c r="D94" s="178">
        <f>+'Pool Lbs &amp; Component Lbs'!J101/'Pool Lbs &amp; Component Lbs'!N101</f>
        <v>6.4218727768681663E-2</v>
      </c>
      <c r="E94" s="178">
        <f>+'Pool Lbs &amp; Component Lbs'!K101/'Pool Lbs &amp; Component Lbs'!N101</f>
        <v>8.3978784132185957E-2</v>
      </c>
      <c r="F94" s="178">
        <f>+'Pool Lbs &amp; Component Lbs'!L101/'Pool Lbs &amp; Component Lbs'!N101</f>
        <v>0.32515147124680011</v>
      </c>
      <c r="G94" s="204">
        <f>+'Pool Lbs &amp; Component Lbs'!M101/'Pool Lbs &amp; Component Lbs'!N101</f>
        <v>0.44145227344635979</v>
      </c>
      <c r="H94" s="210">
        <f>+'Pool Lbs &amp; Component Lbs'!P101/'Pool Lbs &amp; Component Lbs'!$U101</f>
        <v>0.15529730063493946</v>
      </c>
      <c r="I94" s="179">
        <f>+'Pool Lbs &amp; Component Lbs'!Q101/'Pool Lbs &amp; Component Lbs'!$U101</f>
        <v>4.1050404051585436E-2</v>
      </c>
      <c r="J94" s="179">
        <f>+'Pool Lbs &amp; Component Lbs'!R101/'Pool Lbs &amp; Component Lbs'!$U101</f>
        <v>3.445891728839643E-2</v>
      </c>
      <c r="K94" s="179">
        <f>+'Pool Lbs &amp; Component Lbs'!S101/'Pool Lbs &amp; Component Lbs'!$U101</f>
        <v>0.26908688933461078</v>
      </c>
      <c r="L94" s="180">
        <f>+'Pool Lbs &amp; Component Lbs'!T101/'Pool Lbs &amp; Component Lbs'!$U101</f>
        <v>0.50010648869046792</v>
      </c>
    </row>
    <row r="95" spans="1:12">
      <c r="A95" s="162">
        <f>+'Pool Lbs &amp; Component Lbs'!A102</f>
        <v>2007</v>
      </c>
      <c r="B95" s="163" t="str">
        <f>+'Pool Lbs &amp; Component Lbs'!B102</f>
        <v>JULY</v>
      </c>
      <c r="C95" s="197">
        <f>+'Pool Lbs &amp; Component Lbs'!I102/'Pool Lbs &amp; Component Lbs'!N102</f>
        <v>9.206673266969885E-2</v>
      </c>
      <c r="D95" s="178">
        <f>+'Pool Lbs &amp; Component Lbs'!J102/'Pool Lbs &amp; Component Lbs'!N102</f>
        <v>6.3771878980317803E-2</v>
      </c>
      <c r="E95" s="178">
        <f>+'Pool Lbs &amp; Component Lbs'!K102/'Pool Lbs &amp; Component Lbs'!N102</f>
        <v>7.7434630448362532E-2</v>
      </c>
      <c r="F95" s="178">
        <f>+'Pool Lbs &amp; Component Lbs'!L102/'Pool Lbs &amp; Component Lbs'!N102</f>
        <v>0.33002184132227269</v>
      </c>
      <c r="G95" s="204">
        <f>+'Pool Lbs &amp; Component Lbs'!M102/'Pool Lbs &amp; Component Lbs'!N102</f>
        <v>0.43670491657934812</v>
      </c>
      <c r="H95" s="210">
        <f>+'Pool Lbs &amp; Component Lbs'!P102/'Pool Lbs &amp; Component Lbs'!$U102</f>
        <v>0.1602914945346835</v>
      </c>
      <c r="I95" s="179">
        <f>+'Pool Lbs &amp; Component Lbs'!Q102/'Pool Lbs &amp; Component Lbs'!$U102</f>
        <v>4.0825019429123074E-2</v>
      </c>
      <c r="J95" s="179">
        <f>+'Pool Lbs &amp; Component Lbs'!R102/'Pool Lbs &amp; Component Lbs'!$U102</f>
        <v>3.3432897835514508E-2</v>
      </c>
      <c r="K95" s="179">
        <f>+'Pool Lbs &amp; Component Lbs'!S102/'Pool Lbs &amp; Component Lbs'!$U102</f>
        <v>0.27018360709801514</v>
      </c>
      <c r="L95" s="180">
        <f>+'Pool Lbs &amp; Component Lbs'!T102/'Pool Lbs &amp; Component Lbs'!$U102</f>
        <v>0.49526698110266382</v>
      </c>
    </row>
    <row r="96" spans="1:12">
      <c r="A96" s="162">
        <f>+'Pool Lbs &amp; Component Lbs'!A103</f>
        <v>2007</v>
      </c>
      <c r="B96" s="163" t="str">
        <f>+'Pool Lbs &amp; Component Lbs'!B103</f>
        <v>AUGUST</v>
      </c>
      <c r="C96" s="197">
        <f>+'Pool Lbs &amp; Component Lbs'!I103/'Pool Lbs &amp; Component Lbs'!N103</f>
        <v>9.3946050426321051E-2</v>
      </c>
      <c r="D96" s="178">
        <f>+'Pool Lbs &amp; Component Lbs'!J103/'Pool Lbs &amp; Component Lbs'!N103</f>
        <v>5.7879194041685129E-2</v>
      </c>
      <c r="E96" s="178">
        <f>+'Pool Lbs &amp; Component Lbs'!K103/'Pool Lbs &amp; Component Lbs'!N103</f>
        <v>6.7176941457065681E-2</v>
      </c>
      <c r="F96" s="178">
        <f>+'Pool Lbs &amp; Component Lbs'!L103/'Pool Lbs &amp; Component Lbs'!N103</f>
        <v>0.34702600472276501</v>
      </c>
      <c r="G96" s="204">
        <f>+'Pool Lbs &amp; Component Lbs'!M103/'Pool Lbs &amp; Component Lbs'!N103</f>
        <v>0.43397180935216312</v>
      </c>
      <c r="H96" s="210">
        <f>+'Pool Lbs &amp; Component Lbs'!P103/'Pool Lbs &amp; Component Lbs'!$U103</f>
        <v>0.16903085834250778</v>
      </c>
      <c r="I96" s="179">
        <f>+'Pool Lbs &amp; Component Lbs'!Q103/'Pool Lbs &amp; Component Lbs'!$U103</f>
        <v>4.2515917759544435E-2</v>
      </c>
      <c r="J96" s="179">
        <f>+'Pool Lbs &amp; Component Lbs'!R103/'Pool Lbs &amp; Component Lbs'!$U103</f>
        <v>2.9728270449722524E-2</v>
      </c>
      <c r="K96" s="179">
        <f>+'Pool Lbs &amp; Component Lbs'!S103/'Pool Lbs &amp; Component Lbs'!$U103</f>
        <v>0.2648408693253077</v>
      </c>
      <c r="L96" s="180">
        <f>+'Pool Lbs &amp; Component Lbs'!T103/'Pool Lbs &amp; Component Lbs'!$U103</f>
        <v>0.49388408412291757</v>
      </c>
    </row>
    <row r="97" spans="1:12">
      <c r="A97" s="162">
        <f>+'Pool Lbs &amp; Component Lbs'!A104</f>
        <v>2007</v>
      </c>
      <c r="B97" s="163" t="str">
        <f>+'Pool Lbs &amp; Component Lbs'!B104</f>
        <v>SEPTEMBER</v>
      </c>
      <c r="C97" s="197">
        <f>+'Pool Lbs &amp; Component Lbs'!I104/'Pool Lbs &amp; Component Lbs'!N104</f>
        <v>9.3840131275987962E-2</v>
      </c>
      <c r="D97" s="178">
        <f>+'Pool Lbs &amp; Component Lbs'!J104/'Pool Lbs &amp; Component Lbs'!N104</f>
        <v>5.6812026550014258E-2</v>
      </c>
      <c r="E97" s="178">
        <f>+'Pool Lbs &amp; Component Lbs'!K104/'Pool Lbs &amp; Component Lbs'!N104</f>
        <v>5.8565439588882939E-2</v>
      </c>
      <c r="F97" s="178">
        <f>+'Pool Lbs &amp; Component Lbs'!L104/'Pool Lbs &amp; Component Lbs'!N104</f>
        <v>0.35448996207947503</v>
      </c>
      <c r="G97" s="204">
        <f>+'Pool Lbs &amp; Component Lbs'!M104/'Pool Lbs &amp; Component Lbs'!N104</f>
        <v>0.43629244050563981</v>
      </c>
      <c r="H97" s="210">
        <f>+'Pool Lbs &amp; Component Lbs'!P104/'Pool Lbs &amp; Component Lbs'!$U104</f>
        <v>0.17269629353028101</v>
      </c>
      <c r="I97" s="179">
        <f>+'Pool Lbs &amp; Component Lbs'!Q104/'Pool Lbs &amp; Component Lbs'!$U104</f>
        <v>4.5062161650223677E-2</v>
      </c>
      <c r="J97" s="179">
        <f>+'Pool Lbs &amp; Component Lbs'!R104/'Pool Lbs &amp; Component Lbs'!$U104</f>
        <v>2.4946526445174907E-2</v>
      </c>
      <c r="K97" s="179">
        <f>+'Pool Lbs &amp; Component Lbs'!S104/'Pool Lbs &amp; Component Lbs'!$U104</f>
        <v>0.26331144009125923</v>
      </c>
      <c r="L97" s="180">
        <f>+'Pool Lbs &amp; Component Lbs'!T104/'Pool Lbs &amp; Component Lbs'!$U104</f>
        <v>0.49398357828306116</v>
      </c>
    </row>
    <row r="98" spans="1:12">
      <c r="A98" s="162">
        <f>+'Pool Lbs &amp; Component Lbs'!A105</f>
        <v>2007</v>
      </c>
      <c r="B98" s="163" t="str">
        <f>+'Pool Lbs &amp; Component Lbs'!B105</f>
        <v>OCTOBER</v>
      </c>
      <c r="C98" s="197">
        <f>+'Pool Lbs &amp; Component Lbs'!I105/'Pool Lbs &amp; Component Lbs'!N105</f>
        <v>9.4161419200943619E-2</v>
      </c>
      <c r="D98" s="178">
        <f>+'Pool Lbs &amp; Component Lbs'!J105/'Pool Lbs &amp; Component Lbs'!N105</f>
        <v>6.1892040026945649E-2</v>
      </c>
      <c r="E98" s="178">
        <f>+'Pool Lbs &amp; Component Lbs'!K105/'Pool Lbs &amp; Component Lbs'!N105</f>
        <v>5.7641315578656635E-2</v>
      </c>
      <c r="F98" s="178">
        <f>+'Pool Lbs &amp; Component Lbs'!L105/'Pool Lbs &amp; Component Lbs'!N105</f>
        <v>0.36753937378090684</v>
      </c>
      <c r="G98" s="204">
        <f>+'Pool Lbs &amp; Component Lbs'!M105/'Pool Lbs &amp; Component Lbs'!N105</f>
        <v>0.41876585141254724</v>
      </c>
      <c r="H98" s="210">
        <f>+'Pool Lbs &amp; Component Lbs'!P105/'Pool Lbs &amp; Component Lbs'!$U105</f>
        <v>0.17823208877150545</v>
      </c>
      <c r="I98" s="179">
        <f>+'Pool Lbs &amp; Component Lbs'!Q105/'Pool Lbs &amp; Component Lbs'!$U105</f>
        <v>4.1821171947912537E-2</v>
      </c>
      <c r="J98" s="179">
        <f>+'Pool Lbs &amp; Component Lbs'!R105/'Pool Lbs &amp; Component Lbs'!$U105</f>
        <v>2.3415775852809691E-2</v>
      </c>
      <c r="K98" s="179">
        <f>+'Pool Lbs &amp; Component Lbs'!S105/'Pool Lbs &amp; Component Lbs'!$U105</f>
        <v>0.28386787881023484</v>
      </c>
      <c r="L98" s="180">
        <f>+'Pool Lbs &amp; Component Lbs'!T105/'Pool Lbs &amp; Component Lbs'!$U105</f>
        <v>0.47266308461753753</v>
      </c>
    </row>
    <row r="99" spans="1:12">
      <c r="A99" s="162">
        <f>+'Pool Lbs &amp; Component Lbs'!A106</f>
        <v>2007</v>
      </c>
      <c r="B99" s="163" t="str">
        <f>+'Pool Lbs &amp; Component Lbs'!B106</f>
        <v>NOVEMBER</v>
      </c>
      <c r="C99" s="197">
        <f>+'Pool Lbs &amp; Component Lbs'!I106/'Pool Lbs &amp; Component Lbs'!N106</f>
        <v>9.1398212605234216E-2</v>
      </c>
      <c r="D99" s="178">
        <f>+'Pool Lbs &amp; Component Lbs'!J106/'Pool Lbs &amp; Component Lbs'!N106</f>
        <v>6.5293371592073796E-2</v>
      </c>
      <c r="E99" s="178">
        <f>+'Pool Lbs &amp; Component Lbs'!K106/'Pool Lbs &amp; Component Lbs'!N106</f>
        <v>5.0759972665095077E-2</v>
      </c>
      <c r="F99" s="178">
        <f>+'Pool Lbs &amp; Component Lbs'!L106/'Pool Lbs &amp; Component Lbs'!N106</f>
        <v>0.3697660884503215</v>
      </c>
      <c r="G99" s="204">
        <f>+'Pool Lbs &amp; Component Lbs'!M106/'Pool Lbs &amp; Component Lbs'!N106</f>
        <v>0.42278235468727537</v>
      </c>
      <c r="H99" s="210">
        <f>+'Pool Lbs &amp; Component Lbs'!P106/'Pool Lbs &amp; Component Lbs'!$U106</f>
        <v>0.1719168801016073</v>
      </c>
      <c r="I99" s="179">
        <f>+'Pool Lbs &amp; Component Lbs'!Q106/'Pool Lbs &amp; Component Lbs'!$U106</f>
        <v>3.8893361439398984E-2</v>
      </c>
      <c r="J99" s="179">
        <f>+'Pool Lbs &amp; Component Lbs'!R106/'Pool Lbs &amp; Component Lbs'!$U106</f>
        <v>2.099630629103031E-2</v>
      </c>
      <c r="K99" s="179">
        <f>+'Pool Lbs &amp; Component Lbs'!S106/'Pool Lbs &amp; Component Lbs'!$U106</f>
        <v>0.28772118720416623</v>
      </c>
      <c r="L99" s="180">
        <f>+'Pool Lbs &amp; Component Lbs'!T106/'Pool Lbs &amp; Component Lbs'!$U106</f>
        <v>0.48047226496379719</v>
      </c>
    </row>
    <row r="100" spans="1:12" ht="15.75" thickBot="1">
      <c r="A100" s="172">
        <f>+'Pool Lbs &amp; Component Lbs'!A107</f>
        <v>2007</v>
      </c>
      <c r="B100" s="173" t="str">
        <f>+'Pool Lbs &amp; Component Lbs'!B107</f>
        <v>DECEMBER</v>
      </c>
      <c r="C100" s="200">
        <f>+'Pool Lbs &amp; Component Lbs'!I107/'Pool Lbs &amp; Component Lbs'!N107</f>
        <v>8.9183093727848065E-2</v>
      </c>
      <c r="D100" s="187">
        <f>+'Pool Lbs &amp; Component Lbs'!J107/'Pool Lbs &amp; Component Lbs'!N107</f>
        <v>5.2535860383531995E-2</v>
      </c>
      <c r="E100" s="187">
        <f>+'Pool Lbs &amp; Component Lbs'!K107/'Pool Lbs &amp; Component Lbs'!N107</f>
        <v>2.7802358876077168E-2</v>
      </c>
      <c r="F100" s="187">
        <f>+'Pool Lbs &amp; Component Lbs'!L107/'Pool Lbs &amp; Component Lbs'!N107</f>
        <v>0.42948861606312361</v>
      </c>
      <c r="G100" s="207">
        <f>+'Pool Lbs &amp; Component Lbs'!M107/'Pool Lbs &amp; Component Lbs'!N107</f>
        <v>0.40099007094941913</v>
      </c>
      <c r="H100" s="213">
        <f>+'Pool Lbs &amp; Component Lbs'!P107/'Pool Lbs &amp; Component Lbs'!$U107</f>
        <v>0.16490321430723548</v>
      </c>
      <c r="I100" s="188">
        <f>+'Pool Lbs &amp; Component Lbs'!Q107/'Pool Lbs &amp; Component Lbs'!$U107</f>
        <v>3.5673668571003812E-2</v>
      </c>
      <c r="J100" s="188">
        <f>+'Pool Lbs &amp; Component Lbs'!R107/'Pool Lbs &amp; Component Lbs'!$U107</f>
        <v>1.540383703260075E-2</v>
      </c>
      <c r="K100" s="188">
        <f>+'Pool Lbs &amp; Component Lbs'!S107/'Pool Lbs &amp; Component Lbs'!$U107</f>
        <v>0.30957675526857825</v>
      </c>
      <c r="L100" s="189">
        <f>+'Pool Lbs &amp; Component Lbs'!T107/'Pool Lbs &amp; Component Lbs'!$U107</f>
        <v>0.47444252482058169</v>
      </c>
    </row>
    <row r="101" spans="1:12" ht="15.75" thickTop="1">
      <c r="A101" s="168">
        <f>+'Pool Lbs &amp; Component Lbs'!A109</f>
        <v>2008</v>
      </c>
      <c r="B101" s="169" t="str">
        <f>+'Pool Lbs &amp; Component Lbs'!B109</f>
        <v>JANUARY</v>
      </c>
      <c r="C101" s="196">
        <f>+'Pool Lbs &amp; Component Lbs'!I109/'Pool Lbs &amp; Component Lbs'!N109</f>
        <v>8.8925328862105787E-2</v>
      </c>
      <c r="D101" s="174">
        <f>+'Pool Lbs &amp; Component Lbs'!J109/'Pool Lbs &amp; Component Lbs'!N109</f>
        <v>4.4808133806958673E-2</v>
      </c>
      <c r="E101" s="174">
        <f>+'Pool Lbs &amp; Component Lbs'!K109/'Pool Lbs &amp; Component Lbs'!N109</f>
        <v>5.1333695881432051E-2</v>
      </c>
      <c r="F101" s="174">
        <f>+'Pool Lbs &amp; Component Lbs'!L109/'Pool Lbs &amp; Component Lbs'!N109</f>
        <v>0.41700507366167755</v>
      </c>
      <c r="G101" s="203">
        <f>+'Pool Lbs &amp; Component Lbs'!M109/'Pool Lbs &amp; Component Lbs'!N109</f>
        <v>0.39792776778782596</v>
      </c>
      <c r="H101" s="209">
        <f>+'Pool Lbs &amp; Component Lbs'!P109/'Pool Lbs &amp; Component Lbs'!$U109</f>
        <v>0.17337136426619471</v>
      </c>
      <c r="I101" s="175">
        <f>+'Pool Lbs &amp; Component Lbs'!Q109/'Pool Lbs &amp; Component Lbs'!$U109</f>
        <v>3.6628616309422116E-2</v>
      </c>
      <c r="J101" s="175">
        <f>+'Pool Lbs &amp; Component Lbs'!R109/'Pool Lbs &amp; Component Lbs'!$U109</f>
        <v>2.2886558454097736E-2</v>
      </c>
      <c r="K101" s="175">
        <f>+'Pool Lbs &amp; Component Lbs'!S109/'Pool Lbs &amp; Component Lbs'!$U109</f>
        <v>0.30476890375948218</v>
      </c>
      <c r="L101" s="176">
        <f>+'Pool Lbs &amp; Component Lbs'!T109/'Pool Lbs &amp; Component Lbs'!$U109</f>
        <v>0.46234455721080325</v>
      </c>
    </row>
    <row r="102" spans="1:12">
      <c r="A102" s="162">
        <f>+'Pool Lbs &amp; Component Lbs'!A110</f>
        <v>2008</v>
      </c>
      <c r="B102" s="163" t="str">
        <f>+'Pool Lbs &amp; Component Lbs'!B110</f>
        <v>FEBRUARY</v>
      </c>
      <c r="C102" s="197">
        <f>+'Pool Lbs &amp; Component Lbs'!I110/'Pool Lbs &amp; Component Lbs'!N110</f>
        <v>8.4831658180368807E-2</v>
      </c>
      <c r="D102" s="178">
        <f>+'Pool Lbs &amp; Component Lbs'!J110/'Pool Lbs &amp; Component Lbs'!N110</f>
        <v>4.6603146463206686E-2</v>
      </c>
      <c r="E102" s="178">
        <f>+'Pool Lbs &amp; Component Lbs'!K110/'Pool Lbs &amp; Component Lbs'!N110</f>
        <v>5.5464143081885513E-2</v>
      </c>
      <c r="F102" s="178">
        <f>+'Pool Lbs &amp; Component Lbs'!L110/'Pool Lbs &amp; Component Lbs'!N110</f>
        <v>0.41843010583456075</v>
      </c>
      <c r="G102" s="204">
        <f>+'Pool Lbs &amp; Component Lbs'!M110/'Pool Lbs &amp; Component Lbs'!N110</f>
        <v>0.39467094643997824</v>
      </c>
      <c r="H102" s="210">
        <f>+'Pool Lbs &amp; Component Lbs'!P110/'Pool Lbs &amp; Component Lbs'!$U110</f>
        <v>0.1645175683173212</v>
      </c>
      <c r="I102" s="179">
        <f>+'Pool Lbs &amp; Component Lbs'!Q110/'Pool Lbs &amp; Component Lbs'!$U110</f>
        <v>3.6138680125500429E-2</v>
      </c>
      <c r="J102" s="179">
        <f>+'Pool Lbs &amp; Component Lbs'!R110/'Pool Lbs &amp; Component Lbs'!$U110</f>
        <v>2.3166838136030876E-2</v>
      </c>
      <c r="K102" s="179">
        <f>+'Pool Lbs &amp; Component Lbs'!S110/'Pool Lbs &amp; Component Lbs'!$U110</f>
        <v>0.31475928817822768</v>
      </c>
      <c r="L102" s="180">
        <f>+'Pool Lbs &amp; Component Lbs'!T110/'Pool Lbs &amp; Component Lbs'!$U110</f>
        <v>0.46141762524291985</v>
      </c>
    </row>
    <row r="103" spans="1:12">
      <c r="A103" s="162">
        <f>+'Pool Lbs &amp; Component Lbs'!A111</f>
        <v>2008</v>
      </c>
      <c r="B103" s="163" t="str">
        <f>+'Pool Lbs &amp; Component Lbs'!B111</f>
        <v>MARCH</v>
      </c>
      <c r="C103" s="197">
        <f>+'Pool Lbs &amp; Component Lbs'!I111/'Pool Lbs &amp; Component Lbs'!N111</f>
        <v>8.2553957630643895E-2</v>
      </c>
      <c r="D103" s="178">
        <f>+'Pool Lbs &amp; Component Lbs'!J111/'Pool Lbs &amp; Component Lbs'!N111</f>
        <v>4.8605963362875572E-2</v>
      </c>
      <c r="E103" s="178">
        <f>+'Pool Lbs &amp; Component Lbs'!K111/'Pool Lbs &amp; Component Lbs'!N111</f>
        <v>6.5216707648791658E-2</v>
      </c>
      <c r="F103" s="178">
        <f>+'Pool Lbs &amp; Component Lbs'!L111/'Pool Lbs &amp; Component Lbs'!N111</f>
        <v>0.40916442822258986</v>
      </c>
      <c r="G103" s="204">
        <f>+'Pool Lbs &amp; Component Lbs'!M111/'Pool Lbs &amp; Component Lbs'!N111</f>
        <v>0.39445894313509899</v>
      </c>
      <c r="H103" s="210">
        <f>+'Pool Lbs &amp; Component Lbs'!P111/'Pool Lbs &amp; Component Lbs'!$U111</f>
        <v>0.15692860466985087</v>
      </c>
      <c r="I103" s="179">
        <f>+'Pool Lbs &amp; Component Lbs'!Q111/'Pool Lbs &amp; Component Lbs'!$U111</f>
        <v>3.4633744401440923E-2</v>
      </c>
      <c r="J103" s="179">
        <f>+'Pool Lbs &amp; Component Lbs'!R111/'Pool Lbs &amp; Component Lbs'!$U111</f>
        <v>2.7518985812672671E-2</v>
      </c>
      <c r="K103" s="179">
        <f>+'Pool Lbs &amp; Component Lbs'!S111/'Pool Lbs &amp; Component Lbs'!$U111</f>
        <v>0.34360357356605636</v>
      </c>
      <c r="L103" s="180">
        <f>+'Pool Lbs &amp; Component Lbs'!T111/'Pool Lbs &amp; Component Lbs'!$U111</f>
        <v>0.43731509154997922</v>
      </c>
    </row>
    <row r="104" spans="1:12">
      <c r="A104" s="162">
        <f>+'Pool Lbs &amp; Component Lbs'!A112</f>
        <v>2008</v>
      </c>
      <c r="B104" s="163" t="str">
        <f>+'Pool Lbs &amp; Component Lbs'!B112</f>
        <v>APRIL</v>
      </c>
      <c r="C104" s="197">
        <f>+'Pool Lbs &amp; Component Lbs'!I112/'Pool Lbs &amp; Component Lbs'!N112</f>
        <v>8.3818090996461245E-2</v>
      </c>
      <c r="D104" s="178">
        <f>+'Pool Lbs &amp; Component Lbs'!J112/'Pool Lbs &amp; Component Lbs'!N112</f>
        <v>5.3309591802506766E-2</v>
      </c>
      <c r="E104" s="178">
        <f>+'Pool Lbs &amp; Component Lbs'!K112/'Pool Lbs &amp; Component Lbs'!N112</f>
        <v>7.2154253030391857E-2</v>
      </c>
      <c r="F104" s="178">
        <f>+'Pool Lbs &amp; Component Lbs'!L112/'Pool Lbs &amp; Component Lbs'!N112</f>
        <v>0.39382208884668374</v>
      </c>
      <c r="G104" s="204">
        <f>+'Pool Lbs &amp; Component Lbs'!M112/'Pool Lbs &amp; Component Lbs'!N112</f>
        <v>0.39689597532395637</v>
      </c>
      <c r="H104" s="210">
        <f>+'Pool Lbs &amp; Component Lbs'!P112/'Pool Lbs &amp; Component Lbs'!$U112</f>
        <v>0.16124636730142472</v>
      </c>
      <c r="I104" s="179">
        <f>+'Pool Lbs &amp; Component Lbs'!Q112/'Pool Lbs &amp; Component Lbs'!$U112</f>
        <v>3.736986861811218E-2</v>
      </c>
      <c r="J104" s="179">
        <f>+'Pool Lbs &amp; Component Lbs'!R112/'Pool Lbs &amp; Component Lbs'!$U112</f>
        <v>2.9605722859844683E-2</v>
      </c>
      <c r="K104" s="179">
        <f>+'Pool Lbs &amp; Component Lbs'!S112/'Pool Lbs &amp; Component Lbs'!$U112</f>
        <v>0.33596782068114278</v>
      </c>
      <c r="L104" s="180">
        <f>+'Pool Lbs &amp; Component Lbs'!T112/'Pool Lbs &amp; Component Lbs'!$U112</f>
        <v>0.43581022053947566</v>
      </c>
    </row>
    <row r="105" spans="1:12">
      <c r="A105" s="162">
        <f>+'Pool Lbs &amp; Component Lbs'!A113</f>
        <v>2008</v>
      </c>
      <c r="B105" s="163" t="str">
        <f>+'Pool Lbs &amp; Component Lbs'!B113</f>
        <v>MAY</v>
      </c>
      <c r="C105" s="197">
        <f>+'Pool Lbs &amp; Component Lbs'!I113/'Pool Lbs &amp; Component Lbs'!N113</f>
        <v>8.3686215532388503E-2</v>
      </c>
      <c r="D105" s="178">
        <f>+'Pool Lbs &amp; Component Lbs'!J113/'Pool Lbs &amp; Component Lbs'!N113</f>
        <v>5.4467978699066014E-2</v>
      </c>
      <c r="E105" s="178">
        <f>+'Pool Lbs &amp; Component Lbs'!K113/'Pool Lbs &amp; Component Lbs'!N113</f>
        <v>7.2460730493448602E-2</v>
      </c>
      <c r="F105" s="178">
        <f>+'Pool Lbs &amp; Component Lbs'!L113/'Pool Lbs &amp; Component Lbs'!N113</f>
        <v>0.38770073176659492</v>
      </c>
      <c r="G105" s="204">
        <f>+'Pool Lbs &amp; Component Lbs'!M113/'Pool Lbs &amp; Component Lbs'!N113</f>
        <v>0.40168434350850196</v>
      </c>
      <c r="H105" s="210">
        <f>+'Pool Lbs &amp; Component Lbs'!P113/'Pool Lbs &amp; Component Lbs'!$U113</f>
        <v>0.16048400491565315</v>
      </c>
      <c r="I105" s="179">
        <f>+'Pool Lbs &amp; Component Lbs'!Q113/'Pool Lbs &amp; Component Lbs'!$U113</f>
        <v>3.7494027202326419E-2</v>
      </c>
      <c r="J105" s="179">
        <f>+'Pool Lbs &amp; Component Lbs'!R113/'Pool Lbs &amp; Component Lbs'!$U113</f>
        <v>2.7898728441054409E-2</v>
      </c>
      <c r="K105" s="179">
        <f>+'Pool Lbs &amp; Component Lbs'!S113/'Pool Lbs &amp; Component Lbs'!$U113</f>
        <v>0.34239509660316436</v>
      </c>
      <c r="L105" s="180">
        <f>+'Pool Lbs &amp; Component Lbs'!T113/'Pool Lbs &amp; Component Lbs'!$U113</f>
        <v>0.43172814283780164</v>
      </c>
    </row>
    <row r="106" spans="1:12">
      <c r="A106" s="162">
        <f>+'Pool Lbs &amp; Component Lbs'!A114</f>
        <v>2008</v>
      </c>
      <c r="B106" s="163" t="str">
        <f>+'Pool Lbs &amp; Component Lbs'!B114</f>
        <v>JUNE</v>
      </c>
      <c r="C106" s="197">
        <f>+'Pool Lbs &amp; Component Lbs'!I114/'Pool Lbs &amp; Component Lbs'!N114</f>
        <v>8.5923741037092119E-2</v>
      </c>
      <c r="D106" s="178">
        <f>+'Pool Lbs &amp; Component Lbs'!J114/'Pool Lbs &amp; Component Lbs'!N114</f>
        <v>5.5320329829957972E-2</v>
      </c>
      <c r="E106" s="178">
        <f>+'Pool Lbs &amp; Component Lbs'!K114/'Pool Lbs &amp; Component Lbs'!N114</f>
        <v>8.9223037465318372E-2</v>
      </c>
      <c r="F106" s="178">
        <f>+'Pool Lbs &amp; Component Lbs'!L114/'Pool Lbs &amp; Component Lbs'!N114</f>
        <v>0.36156753103101413</v>
      </c>
      <c r="G106" s="204">
        <f>+'Pool Lbs &amp; Component Lbs'!M114/'Pool Lbs &amp; Component Lbs'!N114</f>
        <v>0.40796536063661742</v>
      </c>
      <c r="H106" s="210">
        <f>+'Pool Lbs &amp; Component Lbs'!P114/'Pool Lbs &amp; Component Lbs'!$U114</f>
        <v>0.15746984266343375</v>
      </c>
      <c r="I106" s="179">
        <f>+'Pool Lbs &amp; Component Lbs'!Q114/'Pool Lbs &amp; Component Lbs'!$U114</f>
        <v>3.7412628922851569E-2</v>
      </c>
      <c r="J106" s="179">
        <f>+'Pool Lbs &amp; Component Lbs'!R114/'Pool Lbs &amp; Component Lbs'!$U114</f>
        <v>3.24633264181549E-2</v>
      </c>
      <c r="K106" s="179">
        <f>+'Pool Lbs &amp; Component Lbs'!S114/'Pool Lbs &amp; Component Lbs'!$U114</f>
        <v>0.32546445657244477</v>
      </c>
      <c r="L106" s="180">
        <f>+'Pool Lbs &amp; Component Lbs'!T114/'Pool Lbs &amp; Component Lbs'!$U114</f>
        <v>0.44718974542311501</v>
      </c>
    </row>
    <row r="107" spans="1:12">
      <c r="A107" s="162">
        <f>+'Pool Lbs &amp; Component Lbs'!A115</f>
        <v>2008</v>
      </c>
      <c r="B107" s="163" t="str">
        <f>+'Pool Lbs &amp; Component Lbs'!B115</f>
        <v>JULY</v>
      </c>
      <c r="C107" s="197">
        <f>+'Pool Lbs &amp; Component Lbs'!I115/'Pool Lbs &amp; Component Lbs'!N115</f>
        <v>9.3156568306822396E-2</v>
      </c>
      <c r="D107" s="178">
        <f>+'Pool Lbs &amp; Component Lbs'!J115/'Pool Lbs &amp; Component Lbs'!N115</f>
        <v>6.4007509482018471E-2</v>
      </c>
      <c r="E107" s="178">
        <f>+'Pool Lbs &amp; Component Lbs'!K115/'Pool Lbs &amp; Component Lbs'!N115</f>
        <v>8.5635653528455855E-2</v>
      </c>
      <c r="F107" s="178">
        <f>+'Pool Lbs &amp; Component Lbs'!L115/'Pool Lbs &amp; Component Lbs'!N115</f>
        <v>0.35008779032198462</v>
      </c>
      <c r="G107" s="204">
        <f>+'Pool Lbs &amp; Component Lbs'!M115/'Pool Lbs &amp; Component Lbs'!N115</f>
        <v>0.40711247836071862</v>
      </c>
      <c r="H107" s="210">
        <f>+'Pool Lbs &amp; Component Lbs'!P115/'Pool Lbs &amp; Component Lbs'!$U115</f>
        <v>0.16524955285666476</v>
      </c>
      <c r="I107" s="179">
        <f>+'Pool Lbs &amp; Component Lbs'!Q115/'Pool Lbs &amp; Component Lbs'!$U115</f>
        <v>4.1474847128435174E-2</v>
      </c>
      <c r="J107" s="179">
        <f>+'Pool Lbs &amp; Component Lbs'!R115/'Pool Lbs &amp; Component Lbs'!$U115</f>
        <v>2.8681272093760271E-2</v>
      </c>
      <c r="K107" s="179">
        <f>+'Pool Lbs &amp; Component Lbs'!S115/'Pool Lbs &amp; Component Lbs'!$U115</f>
        <v>0.31578315540637875</v>
      </c>
      <c r="L107" s="180">
        <f>+'Pool Lbs &amp; Component Lbs'!T115/'Pool Lbs &amp; Component Lbs'!$U115</f>
        <v>0.44881117251476105</v>
      </c>
    </row>
    <row r="108" spans="1:12">
      <c r="A108" s="162">
        <f>+'Pool Lbs &amp; Component Lbs'!A116</f>
        <v>2008</v>
      </c>
      <c r="B108" s="163" t="str">
        <f>+'Pool Lbs &amp; Component Lbs'!B116</f>
        <v>AUGUST</v>
      </c>
      <c r="C108" s="197">
        <f>+'Pool Lbs &amp; Component Lbs'!I116/'Pool Lbs &amp; Component Lbs'!N116</f>
        <v>8.8921467422496764E-2</v>
      </c>
      <c r="D108" s="178">
        <f>+'Pool Lbs &amp; Component Lbs'!J116/'Pool Lbs &amp; Component Lbs'!N116</f>
        <v>7.0826489028971693E-2</v>
      </c>
      <c r="E108" s="178">
        <f>+'Pool Lbs &amp; Component Lbs'!K116/'Pool Lbs &amp; Component Lbs'!N116</f>
        <v>8.094656706916982E-2</v>
      </c>
      <c r="F108" s="178">
        <f>+'Pool Lbs &amp; Component Lbs'!L116/'Pool Lbs &amp; Component Lbs'!N116</f>
        <v>0.35708309400654831</v>
      </c>
      <c r="G108" s="204">
        <f>+'Pool Lbs &amp; Component Lbs'!M116/'Pool Lbs &amp; Component Lbs'!N116</f>
        <v>0.40222238247281339</v>
      </c>
      <c r="H108" s="210">
        <f>+'Pool Lbs &amp; Component Lbs'!P116/'Pool Lbs &amp; Component Lbs'!$U116</f>
        <v>0.16630417096801517</v>
      </c>
      <c r="I108" s="179">
        <f>+'Pool Lbs &amp; Component Lbs'!Q116/'Pool Lbs &amp; Component Lbs'!$U116</f>
        <v>4.0671129169513098E-2</v>
      </c>
      <c r="J108" s="179">
        <f>+'Pool Lbs &amp; Component Lbs'!R116/'Pool Lbs &amp; Component Lbs'!$U116</f>
        <v>2.5288699955048264E-2</v>
      </c>
      <c r="K108" s="179">
        <f>+'Pool Lbs &amp; Component Lbs'!S116/'Pool Lbs &amp; Component Lbs'!$U116</f>
        <v>0.32118501314214148</v>
      </c>
      <c r="L108" s="180">
        <f>+'Pool Lbs &amp; Component Lbs'!T116/'Pool Lbs &amp; Component Lbs'!$U116</f>
        <v>0.44655098676528199</v>
      </c>
    </row>
    <row r="109" spans="1:12">
      <c r="A109" s="162">
        <f>+'Pool Lbs &amp; Component Lbs'!A117</f>
        <v>2008</v>
      </c>
      <c r="B109" s="163" t="str">
        <f>+'Pool Lbs &amp; Component Lbs'!B117</f>
        <v>SEPTEMBER</v>
      </c>
      <c r="C109" s="197">
        <f>+'Pool Lbs &amp; Component Lbs'!I117/'Pool Lbs &amp; Component Lbs'!N117</f>
        <v>9.0993453481234124E-2</v>
      </c>
      <c r="D109" s="178">
        <f>+'Pool Lbs &amp; Component Lbs'!J117/'Pool Lbs &amp; Component Lbs'!N117</f>
        <v>7.4950100901203159E-2</v>
      </c>
      <c r="E109" s="178">
        <f>+'Pool Lbs &amp; Component Lbs'!K117/'Pool Lbs &amp; Component Lbs'!N117</f>
        <v>7.4169911826299562E-2</v>
      </c>
      <c r="F109" s="178">
        <f>+'Pool Lbs &amp; Component Lbs'!L117/'Pool Lbs &amp; Component Lbs'!N117</f>
        <v>0.35707592925419307</v>
      </c>
      <c r="G109" s="204">
        <f>+'Pool Lbs &amp; Component Lbs'!M117/'Pool Lbs &amp; Component Lbs'!N117</f>
        <v>0.40281060453707013</v>
      </c>
      <c r="H109" s="210">
        <f>+'Pool Lbs &amp; Component Lbs'!P117/'Pool Lbs &amp; Component Lbs'!$U117</f>
        <v>0.17504517157674135</v>
      </c>
      <c r="I109" s="179">
        <f>+'Pool Lbs &amp; Component Lbs'!Q117/'Pool Lbs &amp; Component Lbs'!$U117</f>
        <v>4.1746066634605422E-2</v>
      </c>
      <c r="J109" s="179">
        <f>+'Pool Lbs &amp; Component Lbs'!R117/'Pool Lbs &amp; Component Lbs'!$U117</f>
        <v>2.5695538297654349E-2</v>
      </c>
      <c r="K109" s="179">
        <f>+'Pool Lbs &amp; Component Lbs'!S117/'Pool Lbs &amp; Component Lbs'!$U117</f>
        <v>0.30478518453316078</v>
      </c>
      <c r="L109" s="180">
        <f>+'Pool Lbs &amp; Component Lbs'!T117/'Pool Lbs &amp; Component Lbs'!$U117</f>
        <v>0.45272803895783814</v>
      </c>
    </row>
    <row r="110" spans="1:12">
      <c r="A110" s="162">
        <f>+'Pool Lbs &amp; Component Lbs'!A118</f>
        <v>2008</v>
      </c>
      <c r="B110" s="163" t="str">
        <f>+'Pool Lbs &amp; Component Lbs'!B118</f>
        <v>OCTOBER</v>
      </c>
      <c r="C110" s="197">
        <f>+'Pool Lbs &amp; Component Lbs'!I118/'Pool Lbs &amp; Component Lbs'!N118</f>
        <v>8.9808279158186163E-2</v>
      </c>
      <c r="D110" s="178">
        <f>+'Pool Lbs &amp; Component Lbs'!J118/'Pool Lbs &amp; Component Lbs'!N118</f>
        <v>7.8179902222575384E-2</v>
      </c>
      <c r="E110" s="178">
        <f>+'Pool Lbs &amp; Component Lbs'!K118/'Pool Lbs &amp; Component Lbs'!N118</f>
        <v>6.6069126355590257E-2</v>
      </c>
      <c r="F110" s="178">
        <f>+'Pool Lbs &amp; Component Lbs'!L118/'Pool Lbs &amp; Component Lbs'!N118</f>
        <v>0.36256031814448914</v>
      </c>
      <c r="G110" s="204">
        <f>+'Pool Lbs &amp; Component Lbs'!M118/'Pool Lbs &amp; Component Lbs'!N118</f>
        <v>0.40338237411915906</v>
      </c>
      <c r="H110" s="210">
        <f>+'Pool Lbs &amp; Component Lbs'!P118/'Pool Lbs &amp; Component Lbs'!$U118</f>
        <v>0.17724006383831947</v>
      </c>
      <c r="I110" s="179">
        <f>+'Pool Lbs &amp; Component Lbs'!Q118/'Pool Lbs &amp; Component Lbs'!$U118</f>
        <v>4.3527984516093944E-2</v>
      </c>
      <c r="J110" s="179">
        <f>+'Pool Lbs &amp; Component Lbs'!R118/'Pool Lbs &amp; Component Lbs'!$U118</f>
        <v>2.1826728532482229E-2</v>
      </c>
      <c r="K110" s="179">
        <f>+'Pool Lbs &amp; Component Lbs'!S118/'Pool Lbs &amp; Component Lbs'!$U118</f>
        <v>0.30936003685381702</v>
      </c>
      <c r="L110" s="180">
        <f>+'Pool Lbs &amp; Component Lbs'!T118/'Pool Lbs &amp; Component Lbs'!$U118</f>
        <v>0.44804518625928735</v>
      </c>
    </row>
    <row r="111" spans="1:12">
      <c r="A111" s="162">
        <f>+'Pool Lbs &amp; Component Lbs'!A119</f>
        <v>2008</v>
      </c>
      <c r="B111" s="163" t="str">
        <f>+'Pool Lbs &amp; Component Lbs'!B119</f>
        <v>NOVEMBER</v>
      </c>
      <c r="C111" s="197">
        <f>+'Pool Lbs &amp; Component Lbs'!I119/'Pool Lbs &amp; Component Lbs'!N119</f>
        <v>8.5457984702943357E-2</v>
      </c>
      <c r="D111" s="178">
        <f>+'Pool Lbs &amp; Component Lbs'!J119/'Pool Lbs &amp; Component Lbs'!N119</f>
        <v>6.9780018307400299E-2</v>
      </c>
      <c r="E111" s="178">
        <f>+'Pool Lbs &amp; Component Lbs'!K119/'Pool Lbs &amp; Component Lbs'!N119</f>
        <v>5.5132582678608946E-2</v>
      </c>
      <c r="F111" s="178">
        <f>+'Pool Lbs &amp; Component Lbs'!L119/'Pool Lbs &amp; Component Lbs'!N119</f>
        <v>0.39478744305520869</v>
      </c>
      <c r="G111" s="204">
        <f>+'Pool Lbs &amp; Component Lbs'!M119/'Pool Lbs &amp; Component Lbs'!N119</f>
        <v>0.39484197125583875</v>
      </c>
      <c r="H111" s="210">
        <f>+'Pool Lbs &amp; Component Lbs'!P119/'Pool Lbs &amp; Component Lbs'!$U119</f>
        <v>0.16533194122258182</v>
      </c>
      <c r="I111" s="179">
        <f>+'Pool Lbs &amp; Component Lbs'!Q119/'Pool Lbs &amp; Component Lbs'!$U119</f>
        <v>3.8014006971055052E-2</v>
      </c>
      <c r="J111" s="179">
        <f>+'Pool Lbs &amp; Component Lbs'!R119/'Pool Lbs &amp; Component Lbs'!$U119</f>
        <v>1.9528925630437718E-2</v>
      </c>
      <c r="K111" s="179">
        <f>+'Pool Lbs &amp; Component Lbs'!S119/'Pool Lbs &amp; Component Lbs'!$U119</f>
        <v>0.33832948064057528</v>
      </c>
      <c r="L111" s="180">
        <f>+'Pool Lbs &amp; Component Lbs'!T119/'Pool Lbs &amp; Component Lbs'!$U119</f>
        <v>0.43879564553535017</v>
      </c>
    </row>
    <row r="112" spans="1:12" ht="15.75" thickBot="1">
      <c r="A112" s="166">
        <f>+'Pool Lbs &amp; Component Lbs'!A120</f>
        <v>2008</v>
      </c>
      <c r="B112" s="167" t="str">
        <f>+'Pool Lbs &amp; Component Lbs'!B120</f>
        <v>DECEMBER</v>
      </c>
      <c r="C112" s="198">
        <f>+'Pool Lbs &amp; Component Lbs'!I120/'Pool Lbs &amp; Component Lbs'!N120</f>
        <v>8.8769960653844793E-2</v>
      </c>
      <c r="D112" s="181">
        <f>+'Pool Lbs &amp; Component Lbs'!J120/'Pool Lbs &amp; Component Lbs'!N120</f>
        <v>6.1832306020673869E-2</v>
      </c>
      <c r="E112" s="181">
        <f>+'Pool Lbs &amp; Component Lbs'!K120/'Pool Lbs &amp; Component Lbs'!N120</f>
        <v>3.6870595216347897E-2</v>
      </c>
      <c r="F112" s="181">
        <f>+'Pool Lbs &amp; Component Lbs'!L120/'Pool Lbs &amp; Component Lbs'!N120</f>
        <v>0.42177397674475864</v>
      </c>
      <c r="G112" s="205">
        <f>+'Pool Lbs &amp; Component Lbs'!M120/'Pool Lbs &amp; Component Lbs'!N120</f>
        <v>0.39075316136437482</v>
      </c>
      <c r="H112" s="211">
        <f>+'Pool Lbs &amp; Component Lbs'!P120/'Pool Lbs &amp; Component Lbs'!$U120</f>
        <v>0.16834999823903926</v>
      </c>
      <c r="I112" s="182">
        <f>+'Pool Lbs &amp; Component Lbs'!Q120/'Pool Lbs &amp; Component Lbs'!$U120</f>
        <v>3.94410010346114E-2</v>
      </c>
      <c r="J112" s="182">
        <f>+'Pool Lbs &amp; Component Lbs'!R120/'Pool Lbs &amp; Component Lbs'!$U120</f>
        <v>1.3113483449172439E-2</v>
      </c>
      <c r="K112" s="182">
        <f>+'Pool Lbs &amp; Component Lbs'!S120/'Pool Lbs &amp; Component Lbs'!$U120</f>
        <v>0.34503546909688132</v>
      </c>
      <c r="L112" s="183">
        <f>+'Pool Lbs &amp; Component Lbs'!T120/'Pool Lbs &amp; Component Lbs'!$U120</f>
        <v>0.43406004818029559</v>
      </c>
    </row>
    <row r="113" spans="1:12" ht="15.75" thickTop="1">
      <c r="A113" s="170">
        <f>+'Pool Lbs &amp; Component Lbs'!A122</f>
        <v>2009</v>
      </c>
      <c r="B113" s="171" t="str">
        <f>+'Pool Lbs &amp; Component Lbs'!B122</f>
        <v>JANUARY</v>
      </c>
      <c r="C113" s="199">
        <f>+'Pool Lbs &amp; Component Lbs'!I122/'Pool Lbs &amp; Component Lbs'!N122</f>
        <v>8.5659511409099012E-2</v>
      </c>
      <c r="D113" s="184">
        <f>+'Pool Lbs &amp; Component Lbs'!J122/'Pool Lbs &amp; Component Lbs'!N122</f>
        <v>5.8406965759519459E-2</v>
      </c>
      <c r="E113" s="184">
        <f>+'Pool Lbs &amp; Component Lbs'!K122/'Pool Lbs &amp; Component Lbs'!N122</f>
        <v>5.6680093778276715E-2</v>
      </c>
      <c r="F113" s="184">
        <f>+'Pool Lbs &amp; Component Lbs'!L122/'Pool Lbs &amp; Component Lbs'!N122</f>
        <v>0.4445473683006706</v>
      </c>
      <c r="G113" s="206">
        <f>+'Pool Lbs &amp; Component Lbs'!M122/'Pool Lbs &amp; Component Lbs'!N122</f>
        <v>0.35470606075243422</v>
      </c>
      <c r="H113" s="212">
        <f>+'Pool Lbs &amp; Component Lbs'!P122/'Pool Lbs &amp; Component Lbs'!$U122</f>
        <v>0.17060554571526376</v>
      </c>
      <c r="I113" s="185">
        <f>+'Pool Lbs &amp; Component Lbs'!Q122/'Pool Lbs &amp; Component Lbs'!$U122</f>
        <v>3.7747058596381181E-2</v>
      </c>
      <c r="J113" s="185">
        <f>+'Pool Lbs &amp; Component Lbs'!R122/'Pool Lbs &amp; Component Lbs'!$U122</f>
        <v>2.1892538976542995E-2</v>
      </c>
      <c r="K113" s="185">
        <f>+'Pool Lbs &amp; Component Lbs'!S122/'Pool Lbs &amp; Component Lbs'!$U122</f>
        <v>0.36942298856349365</v>
      </c>
      <c r="L113" s="186">
        <f>+'Pool Lbs &amp; Component Lbs'!T122/'Pool Lbs &amp; Component Lbs'!$U122</f>
        <v>0.40033186814831845</v>
      </c>
    </row>
    <row r="114" spans="1:12">
      <c r="A114" s="162">
        <f>+'Pool Lbs &amp; Component Lbs'!A123</f>
        <v>2009</v>
      </c>
      <c r="B114" s="163" t="str">
        <f>+'Pool Lbs &amp; Component Lbs'!B123</f>
        <v>FEBRUARY</v>
      </c>
      <c r="C114" s="197">
        <f>+'Pool Lbs &amp; Component Lbs'!I123/'Pool Lbs &amp; Component Lbs'!N123</f>
        <v>8.7131640563460316E-2</v>
      </c>
      <c r="D114" s="178">
        <f>+'Pool Lbs &amp; Component Lbs'!J123/'Pool Lbs &amp; Component Lbs'!N123</f>
        <v>6.0545074516560264E-2</v>
      </c>
      <c r="E114" s="178">
        <f>+'Pool Lbs &amp; Component Lbs'!K123/'Pool Lbs &amp; Component Lbs'!N123</f>
        <v>6.5556917393790173E-2</v>
      </c>
      <c r="F114" s="178">
        <f>+'Pool Lbs &amp; Component Lbs'!L123/'Pool Lbs &amp; Component Lbs'!N123</f>
        <v>0.42420667322018063</v>
      </c>
      <c r="G114" s="204">
        <f>+'Pool Lbs &amp; Component Lbs'!M123/'Pool Lbs &amp; Component Lbs'!N123</f>
        <v>0.36255969430600865</v>
      </c>
      <c r="H114" s="210">
        <f>+'Pool Lbs &amp; Component Lbs'!P123/'Pool Lbs &amp; Component Lbs'!$U123</f>
        <v>0.17523318416842931</v>
      </c>
      <c r="I114" s="179">
        <f>+'Pool Lbs &amp; Component Lbs'!Q123/'Pool Lbs &amp; Component Lbs'!$U123</f>
        <v>4.1818767454835842E-2</v>
      </c>
      <c r="J114" s="179">
        <f>+'Pool Lbs &amp; Component Lbs'!R123/'Pool Lbs &amp; Component Lbs'!$U123</f>
        <v>2.5259574846100551E-2</v>
      </c>
      <c r="K114" s="179">
        <f>+'Pool Lbs &amp; Component Lbs'!S123/'Pool Lbs &amp; Component Lbs'!$U123</f>
        <v>0.34437286028392816</v>
      </c>
      <c r="L114" s="180">
        <f>+'Pool Lbs &amp; Component Lbs'!T123/'Pool Lbs &amp; Component Lbs'!$U123</f>
        <v>0.41331561324670613</v>
      </c>
    </row>
    <row r="115" spans="1:12">
      <c r="A115" s="162">
        <f>+'Pool Lbs &amp; Component Lbs'!A124</f>
        <v>2009</v>
      </c>
      <c r="B115" s="163" t="str">
        <f>+'Pool Lbs &amp; Component Lbs'!B124</f>
        <v>MARCH</v>
      </c>
      <c r="C115" s="197">
        <f>+'Pool Lbs &amp; Component Lbs'!I124/'Pool Lbs &amp; Component Lbs'!N124</f>
        <v>8.8039146227689533E-2</v>
      </c>
      <c r="D115" s="178">
        <f>+'Pool Lbs &amp; Component Lbs'!J124/'Pool Lbs &amp; Component Lbs'!N124</f>
        <v>6.5064664739894099E-2</v>
      </c>
      <c r="E115" s="178">
        <f>+'Pool Lbs &amp; Component Lbs'!K124/'Pool Lbs &amp; Component Lbs'!N124</f>
        <v>6.4932476339158593E-2</v>
      </c>
      <c r="F115" s="178">
        <f>+'Pool Lbs &amp; Component Lbs'!L124/'Pool Lbs &amp; Component Lbs'!N124</f>
        <v>0.41330900408405402</v>
      </c>
      <c r="G115" s="204">
        <f>+'Pool Lbs &amp; Component Lbs'!M124/'Pool Lbs &amp; Component Lbs'!N124</f>
        <v>0.36865470860920374</v>
      </c>
      <c r="H115" s="210">
        <f>+'Pool Lbs &amp; Component Lbs'!P124/'Pool Lbs &amp; Component Lbs'!$U124</f>
        <v>0.1713926729073123</v>
      </c>
      <c r="I115" s="179">
        <f>+'Pool Lbs &amp; Component Lbs'!Q124/'Pool Lbs &amp; Component Lbs'!$U124</f>
        <v>4.2579949754499059E-2</v>
      </c>
      <c r="J115" s="179">
        <f>+'Pool Lbs &amp; Component Lbs'!R124/'Pool Lbs &amp; Component Lbs'!$U124</f>
        <v>3.0554481307318207E-2</v>
      </c>
      <c r="K115" s="179">
        <f>+'Pool Lbs &amp; Component Lbs'!S124/'Pool Lbs &amp; Component Lbs'!$U124</f>
        <v>0.34150743503697834</v>
      </c>
      <c r="L115" s="180">
        <f>+'Pool Lbs &amp; Component Lbs'!T124/'Pool Lbs &amp; Component Lbs'!$U124</f>
        <v>0.41396546099389214</v>
      </c>
    </row>
    <row r="116" spans="1:12">
      <c r="A116" s="162">
        <f>+'Pool Lbs &amp; Component Lbs'!A125</f>
        <v>2009</v>
      </c>
      <c r="B116" s="163" t="str">
        <f>+'Pool Lbs &amp; Component Lbs'!B125</f>
        <v>APRIL</v>
      </c>
      <c r="C116" s="197">
        <f>+'Pool Lbs &amp; Component Lbs'!I125/'Pool Lbs &amp; Component Lbs'!N125</f>
        <v>8.939733978851859E-2</v>
      </c>
      <c r="D116" s="178">
        <f>+'Pool Lbs &amp; Component Lbs'!J125/'Pool Lbs &amp; Component Lbs'!N125</f>
        <v>7.075454523805462E-2</v>
      </c>
      <c r="E116" s="178">
        <f>+'Pool Lbs &amp; Component Lbs'!K125/'Pool Lbs &amp; Component Lbs'!N125</f>
        <v>7.2910057973255615E-2</v>
      </c>
      <c r="F116" s="178">
        <f>+'Pool Lbs &amp; Component Lbs'!L125/'Pool Lbs &amp; Component Lbs'!N125</f>
        <v>0.39725112854420069</v>
      </c>
      <c r="G116" s="204">
        <f>+'Pool Lbs &amp; Component Lbs'!M125/'Pool Lbs &amp; Component Lbs'!N125</f>
        <v>0.36968692845597051</v>
      </c>
      <c r="H116" s="210">
        <f>+'Pool Lbs &amp; Component Lbs'!P125/'Pool Lbs &amp; Component Lbs'!$U125</f>
        <v>0.16886172450637063</v>
      </c>
      <c r="I116" s="179">
        <f>+'Pool Lbs &amp; Component Lbs'!Q125/'Pool Lbs &amp; Component Lbs'!$U125</f>
        <v>4.0885393360675475E-2</v>
      </c>
      <c r="J116" s="179">
        <f>+'Pool Lbs &amp; Component Lbs'!R125/'Pool Lbs &amp; Component Lbs'!$U125</f>
        <v>3.4836669892398142E-2</v>
      </c>
      <c r="K116" s="179">
        <f>+'Pool Lbs &amp; Component Lbs'!S125/'Pool Lbs &amp; Component Lbs'!$U125</f>
        <v>0.34243449540043147</v>
      </c>
      <c r="L116" s="180">
        <f>+'Pool Lbs &amp; Component Lbs'!T125/'Pool Lbs &amp; Component Lbs'!$U125</f>
        <v>0.41298171684012425</v>
      </c>
    </row>
    <row r="117" spans="1:12">
      <c r="A117" s="162">
        <f>+'Pool Lbs &amp; Component Lbs'!A126</f>
        <v>2009</v>
      </c>
      <c r="B117" s="163" t="str">
        <f>+'Pool Lbs &amp; Component Lbs'!B126</f>
        <v>MAY</v>
      </c>
      <c r="C117" s="197">
        <f>+'Pool Lbs &amp; Component Lbs'!I126/'Pool Lbs &amp; Component Lbs'!N126</f>
        <v>8.7299558477213407E-2</v>
      </c>
      <c r="D117" s="178">
        <f>+'Pool Lbs &amp; Component Lbs'!J126/'Pool Lbs &amp; Component Lbs'!N126</f>
        <v>6.9054702252420219E-2</v>
      </c>
      <c r="E117" s="178">
        <f>+'Pool Lbs &amp; Component Lbs'!K126/'Pool Lbs &amp; Component Lbs'!N126</f>
        <v>8.2763052999459935E-2</v>
      </c>
      <c r="F117" s="178">
        <f>+'Pool Lbs &amp; Component Lbs'!L126/'Pool Lbs &amp; Component Lbs'!N126</f>
        <v>0.39185733052935562</v>
      </c>
      <c r="G117" s="204">
        <f>+'Pool Lbs &amp; Component Lbs'!M126/'Pool Lbs &amp; Component Lbs'!N126</f>
        <v>0.36902535574155082</v>
      </c>
      <c r="H117" s="210">
        <f>+'Pool Lbs &amp; Component Lbs'!P126/'Pool Lbs &amp; Component Lbs'!$U126</f>
        <v>0.16533709486563086</v>
      </c>
      <c r="I117" s="179">
        <f>+'Pool Lbs &amp; Component Lbs'!Q126/'Pool Lbs &amp; Component Lbs'!$U126</f>
        <v>4.1398240563460947E-2</v>
      </c>
      <c r="J117" s="179">
        <f>+'Pool Lbs &amp; Component Lbs'!R126/'Pool Lbs &amp; Component Lbs'!$U126</f>
        <v>3.1910883748769069E-2</v>
      </c>
      <c r="K117" s="179">
        <f>+'Pool Lbs &amp; Component Lbs'!S126/'Pool Lbs &amp; Component Lbs'!$U126</f>
        <v>0.3575762030506931</v>
      </c>
      <c r="L117" s="180">
        <f>+'Pool Lbs &amp; Component Lbs'!T126/'Pool Lbs &amp; Component Lbs'!$U126</f>
        <v>0.40377757777144602</v>
      </c>
    </row>
    <row r="118" spans="1:12">
      <c r="A118" s="162">
        <f>+'Pool Lbs &amp; Component Lbs'!A127</f>
        <v>2009</v>
      </c>
      <c r="B118" s="163" t="str">
        <f>+'Pool Lbs &amp; Component Lbs'!B127</f>
        <v>JUNE</v>
      </c>
      <c r="C118" s="197">
        <f>+'Pool Lbs &amp; Component Lbs'!I127/'Pool Lbs &amp; Component Lbs'!N127</f>
        <v>9.3951142801186036E-2</v>
      </c>
      <c r="D118" s="178">
        <f>+'Pool Lbs &amp; Component Lbs'!J127/'Pool Lbs &amp; Component Lbs'!N127</f>
        <v>7.9449291251639687E-2</v>
      </c>
      <c r="E118" s="178">
        <f>+'Pool Lbs &amp; Component Lbs'!K127/'Pool Lbs &amp; Component Lbs'!N127</f>
        <v>8.5522146888470485E-2</v>
      </c>
      <c r="F118" s="178">
        <f>+'Pool Lbs &amp; Component Lbs'!L127/'Pool Lbs &amp; Component Lbs'!N127</f>
        <v>0.36972874816048912</v>
      </c>
      <c r="G118" s="204">
        <f>+'Pool Lbs &amp; Component Lbs'!M127/'Pool Lbs &amp; Component Lbs'!N127</f>
        <v>0.37134867089821472</v>
      </c>
      <c r="H118" s="210">
        <f>+'Pool Lbs &amp; Component Lbs'!P127/'Pool Lbs &amp; Component Lbs'!$U127</f>
        <v>0.17073498173152032</v>
      </c>
      <c r="I118" s="179">
        <f>+'Pool Lbs &amp; Component Lbs'!Q127/'Pool Lbs &amp; Component Lbs'!$U127</f>
        <v>4.36657754280627E-2</v>
      </c>
      <c r="J118" s="179">
        <f>+'Pool Lbs &amp; Component Lbs'!R127/'Pool Lbs &amp; Component Lbs'!$U127</f>
        <v>3.3310894339615815E-2</v>
      </c>
      <c r="K118" s="179">
        <f>+'Pool Lbs &amp; Component Lbs'!S127/'Pool Lbs &amp; Component Lbs'!$U127</f>
        <v>0.34027772582021737</v>
      </c>
      <c r="L118" s="180">
        <f>+'Pool Lbs &amp; Component Lbs'!T127/'Pool Lbs &amp; Component Lbs'!$U127</f>
        <v>0.4120106226805838</v>
      </c>
    </row>
    <row r="119" spans="1:12">
      <c r="A119" s="162">
        <f>+'Pool Lbs &amp; Component Lbs'!A128</f>
        <v>2009</v>
      </c>
      <c r="B119" s="163" t="str">
        <f>+'Pool Lbs &amp; Component Lbs'!B128</f>
        <v>JULY</v>
      </c>
      <c r="C119" s="197">
        <f>+'Pool Lbs &amp; Component Lbs'!I128/'Pool Lbs &amp; Component Lbs'!N128</f>
        <v>9.7774413171526839E-2</v>
      </c>
      <c r="D119" s="178">
        <f>+'Pool Lbs &amp; Component Lbs'!J128/'Pool Lbs &amp; Component Lbs'!N128</f>
        <v>7.5572274668936748E-2</v>
      </c>
      <c r="E119" s="178">
        <f>+'Pool Lbs &amp; Component Lbs'!K128/'Pool Lbs &amp; Component Lbs'!N128</f>
        <v>8.4279763245393366E-2</v>
      </c>
      <c r="F119" s="178">
        <f>+'Pool Lbs &amp; Component Lbs'!L128/'Pool Lbs &amp; Component Lbs'!N128</f>
        <v>0.37540316423562464</v>
      </c>
      <c r="G119" s="204">
        <f>+'Pool Lbs &amp; Component Lbs'!M128/'Pool Lbs &amp; Component Lbs'!N128</f>
        <v>0.36697038467851839</v>
      </c>
      <c r="H119" s="210">
        <f>+'Pool Lbs &amp; Component Lbs'!P128/'Pool Lbs &amp; Component Lbs'!$U128</f>
        <v>0.1783053687319654</v>
      </c>
      <c r="I119" s="179">
        <f>+'Pool Lbs &amp; Component Lbs'!Q128/'Pool Lbs &amp; Component Lbs'!$U128</f>
        <v>4.1900719393958945E-2</v>
      </c>
      <c r="J119" s="179">
        <f>+'Pool Lbs &amp; Component Lbs'!R128/'Pool Lbs &amp; Component Lbs'!$U128</f>
        <v>3.0909938941339057E-2</v>
      </c>
      <c r="K119" s="179">
        <f>+'Pool Lbs &amp; Component Lbs'!S128/'Pool Lbs &amp; Component Lbs'!$U128</f>
        <v>0.32309685873216548</v>
      </c>
      <c r="L119" s="180">
        <f>+'Pool Lbs &amp; Component Lbs'!T128/'Pool Lbs &amp; Component Lbs'!$U128</f>
        <v>0.42578711420057114</v>
      </c>
    </row>
    <row r="120" spans="1:12">
      <c r="A120" s="162">
        <f>+'Pool Lbs &amp; Component Lbs'!A129</f>
        <v>2009</v>
      </c>
      <c r="B120" s="163" t="str">
        <f>+'Pool Lbs &amp; Component Lbs'!B129</f>
        <v>AUGUST</v>
      </c>
      <c r="C120" s="197">
        <f>+'Pool Lbs &amp; Component Lbs'!I129/'Pool Lbs &amp; Component Lbs'!N129</f>
        <v>9.695189726812041E-2</v>
      </c>
      <c r="D120" s="178">
        <f>+'Pool Lbs &amp; Component Lbs'!J129/'Pool Lbs &amp; Component Lbs'!N129</f>
        <v>8.0208016218691475E-2</v>
      </c>
      <c r="E120" s="178">
        <f>+'Pool Lbs &amp; Component Lbs'!K129/'Pool Lbs &amp; Component Lbs'!N129</f>
        <v>8.4693095113909475E-2</v>
      </c>
      <c r="F120" s="178">
        <f>+'Pool Lbs &amp; Component Lbs'!L129/'Pool Lbs &amp; Component Lbs'!N129</f>
        <v>0.36869528758781073</v>
      </c>
      <c r="G120" s="204">
        <f>+'Pool Lbs &amp; Component Lbs'!M129/'Pool Lbs &amp; Component Lbs'!N129</f>
        <v>0.36945170381146791</v>
      </c>
      <c r="H120" s="210">
        <f>+'Pool Lbs &amp; Component Lbs'!P129/'Pool Lbs &amp; Component Lbs'!$U129</f>
        <v>0.18250514202610404</v>
      </c>
      <c r="I120" s="179">
        <f>+'Pool Lbs &amp; Component Lbs'!Q129/'Pool Lbs &amp; Component Lbs'!$U129</f>
        <v>4.6854202639299458E-2</v>
      </c>
      <c r="J120" s="179">
        <f>+'Pool Lbs &amp; Component Lbs'!R129/'Pool Lbs &amp; Component Lbs'!$U129</f>
        <v>3.1371907353154524E-2</v>
      </c>
      <c r="K120" s="179">
        <f>+'Pool Lbs &amp; Component Lbs'!S129/'Pool Lbs &amp; Component Lbs'!$U129</f>
        <v>0.3130129343800736</v>
      </c>
      <c r="L120" s="180">
        <f>+'Pool Lbs &amp; Component Lbs'!T129/'Pool Lbs &amp; Component Lbs'!$U129</f>
        <v>0.42625581360136833</v>
      </c>
    </row>
    <row r="121" spans="1:12">
      <c r="A121" s="162">
        <f>+'Pool Lbs &amp; Component Lbs'!A130</f>
        <v>2009</v>
      </c>
      <c r="B121" s="163" t="str">
        <f>+'Pool Lbs &amp; Component Lbs'!B130</f>
        <v>SEPTEMBER</v>
      </c>
      <c r="C121" s="197">
        <f>+'Pool Lbs &amp; Component Lbs'!I130/'Pool Lbs &amp; Component Lbs'!N130</f>
        <v>9.9764283032929862E-2</v>
      </c>
      <c r="D121" s="178">
        <f>+'Pool Lbs &amp; Component Lbs'!J130/'Pool Lbs &amp; Component Lbs'!N130</f>
        <v>7.9201063065370864E-2</v>
      </c>
      <c r="E121" s="178">
        <f>+'Pool Lbs &amp; Component Lbs'!K130/'Pool Lbs &amp; Component Lbs'!N130</f>
        <v>7.6503954642565264E-2</v>
      </c>
      <c r="F121" s="178">
        <f>+'Pool Lbs &amp; Component Lbs'!L130/'Pool Lbs &amp; Component Lbs'!N130</f>
        <v>0.37208524714059371</v>
      </c>
      <c r="G121" s="204">
        <f>+'Pool Lbs &amp; Component Lbs'!M130/'Pool Lbs &amp; Component Lbs'!N130</f>
        <v>0.3724454521185403</v>
      </c>
      <c r="H121" s="210">
        <f>+'Pool Lbs &amp; Component Lbs'!P130/'Pool Lbs &amp; Component Lbs'!$U130</f>
        <v>0.1943282535202456</v>
      </c>
      <c r="I121" s="179">
        <f>+'Pool Lbs &amp; Component Lbs'!Q130/'Pool Lbs &amp; Component Lbs'!$U130</f>
        <v>4.7091496307396515E-2</v>
      </c>
      <c r="J121" s="179">
        <f>+'Pool Lbs &amp; Component Lbs'!R130/'Pool Lbs &amp; Component Lbs'!$U130</f>
        <v>2.9548825830626447E-2</v>
      </c>
      <c r="K121" s="179">
        <f>+'Pool Lbs &amp; Component Lbs'!S130/'Pool Lbs &amp; Component Lbs'!$U130</f>
        <v>0.28622598510136027</v>
      </c>
      <c r="L121" s="180">
        <f>+'Pool Lbs &amp; Component Lbs'!T130/'Pool Lbs &amp; Component Lbs'!$U130</f>
        <v>0.44280543924037113</v>
      </c>
    </row>
    <row r="122" spans="1:12">
      <c r="A122" s="162">
        <f>+'Pool Lbs &amp; Component Lbs'!A131</f>
        <v>2009</v>
      </c>
      <c r="B122" s="163" t="str">
        <f>+'Pool Lbs &amp; Component Lbs'!B131</f>
        <v>OCTOBER</v>
      </c>
      <c r="C122" s="197">
        <f>+'Pool Lbs &amp; Component Lbs'!I131/'Pool Lbs &amp; Component Lbs'!N131</f>
        <v>9.682952033578332E-2</v>
      </c>
      <c r="D122" s="178">
        <f>+'Pool Lbs &amp; Component Lbs'!J131/'Pool Lbs &amp; Component Lbs'!N131</f>
        <v>9.5913363604960222E-2</v>
      </c>
      <c r="E122" s="178">
        <f>+'Pool Lbs &amp; Component Lbs'!K131/'Pool Lbs &amp; Component Lbs'!N131</f>
        <v>6.1951826142264028E-2</v>
      </c>
      <c r="F122" s="178">
        <f>+'Pool Lbs &amp; Component Lbs'!L131/'Pool Lbs &amp; Component Lbs'!N131</f>
        <v>0.37795222611378854</v>
      </c>
      <c r="G122" s="204">
        <f>+'Pool Lbs &amp; Component Lbs'!M131/'Pool Lbs &amp; Component Lbs'!N131</f>
        <v>0.36735306380320387</v>
      </c>
      <c r="H122" s="210">
        <f>+'Pool Lbs &amp; Component Lbs'!P131/'Pool Lbs &amp; Component Lbs'!$U131</f>
        <v>0.19110699689951194</v>
      </c>
      <c r="I122" s="179">
        <f>+'Pool Lbs &amp; Component Lbs'!Q131/'Pool Lbs &amp; Component Lbs'!$U131</f>
        <v>4.3291501135501391E-2</v>
      </c>
      <c r="J122" s="179">
        <f>+'Pool Lbs &amp; Component Lbs'!R131/'Pool Lbs &amp; Component Lbs'!$U131</f>
        <v>2.3743029195158485E-2</v>
      </c>
      <c r="K122" s="179">
        <f>+'Pool Lbs &amp; Component Lbs'!S131/'Pool Lbs &amp; Component Lbs'!$U131</f>
        <v>0.31062159334666528</v>
      </c>
      <c r="L122" s="180">
        <f>+'Pool Lbs &amp; Component Lbs'!T131/'Pool Lbs &amp; Component Lbs'!$U131</f>
        <v>0.43123687942316291</v>
      </c>
    </row>
    <row r="123" spans="1:12">
      <c r="A123" s="162">
        <f>+'Pool Lbs &amp; Component Lbs'!A132</f>
        <v>2009</v>
      </c>
      <c r="B123" s="163" t="str">
        <f>+'Pool Lbs &amp; Component Lbs'!B132</f>
        <v>NOVEMBER</v>
      </c>
      <c r="C123" s="197">
        <f>+'Pool Lbs &amp; Component Lbs'!I132/'Pool Lbs &amp; Component Lbs'!N132</f>
        <v>9.5771683851603631E-2</v>
      </c>
      <c r="D123" s="178">
        <f>+'Pool Lbs &amp; Component Lbs'!J132/'Pool Lbs &amp; Component Lbs'!N132</f>
        <v>0.10715709060023797</v>
      </c>
      <c r="E123" s="178">
        <f>+'Pool Lbs &amp; Component Lbs'!K132/'Pool Lbs &amp; Component Lbs'!N132</f>
        <v>5.0166049598813503E-2</v>
      </c>
      <c r="F123" s="178">
        <f>+'Pool Lbs &amp; Component Lbs'!L132/'Pool Lbs &amp; Component Lbs'!N132</f>
        <v>0.39146482831700358</v>
      </c>
      <c r="G123" s="204">
        <f>+'Pool Lbs &amp; Component Lbs'!M132/'Pool Lbs &amp; Component Lbs'!N132</f>
        <v>0.35544034763234134</v>
      </c>
      <c r="H123" s="210">
        <f>+'Pool Lbs &amp; Component Lbs'!P132/'Pool Lbs &amp; Component Lbs'!$U132</f>
        <v>0.19063073207466433</v>
      </c>
      <c r="I123" s="179">
        <f>+'Pool Lbs &amp; Component Lbs'!Q132/'Pool Lbs &amp; Component Lbs'!$U132</f>
        <v>4.3852306495414321E-2</v>
      </c>
      <c r="J123" s="179">
        <f>+'Pool Lbs &amp; Component Lbs'!R132/'Pool Lbs &amp; Component Lbs'!$U132</f>
        <v>1.9308484008016061E-2</v>
      </c>
      <c r="K123" s="179">
        <f>+'Pool Lbs &amp; Component Lbs'!S132/'Pool Lbs &amp; Component Lbs'!$U132</f>
        <v>0.3261037790427625</v>
      </c>
      <c r="L123" s="180">
        <f>+'Pool Lbs &amp; Component Lbs'!T132/'Pool Lbs &amp; Component Lbs'!$U132</f>
        <v>0.42010469837914283</v>
      </c>
    </row>
    <row r="124" spans="1:12" ht="15.75" thickBot="1">
      <c r="A124" s="172">
        <f>+'Pool Lbs &amp; Component Lbs'!A133</f>
        <v>2009</v>
      </c>
      <c r="B124" s="173" t="str">
        <f>+'Pool Lbs &amp; Component Lbs'!B133</f>
        <v>DECEMBER</v>
      </c>
      <c r="C124" s="200">
        <f>+'Pool Lbs &amp; Component Lbs'!I133/'Pool Lbs &amp; Component Lbs'!N133</f>
        <v>9.3935534620072841E-2</v>
      </c>
      <c r="D124" s="187">
        <f>+'Pool Lbs &amp; Component Lbs'!J133/'Pool Lbs &amp; Component Lbs'!N133</f>
        <v>9.8329349221453616E-2</v>
      </c>
      <c r="E124" s="187">
        <f>+'Pool Lbs &amp; Component Lbs'!K133/'Pool Lbs &amp; Component Lbs'!N133</f>
        <v>3.9837018057889903E-2</v>
      </c>
      <c r="F124" s="187">
        <f>+'Pool Lbs &amp; Component Lbs'!L133/'Pool Lbs &amp; Component Lbs'!N133</f>
        <v>0.41405420352043021</v>
      </c>
      <c r="G124" s="207">
        <f>+'Pool Lbs &amp; Component Lbs'!M133/'Pool Lbs &amp; Component Lbs'!N133</f>
        <v>0.35384389458015342</v>
      </c>
      <c r="H124" s="213">
        <f>+'Pool Lbs &amp; Component Lbs'!P133/'Pool Lbs &amp; Component Lbs'!$U133</f>
        <v>0.18559596020625904</v>
      </c>
      <c r="I124" s="188">
        <f>+'Pool Lbs &amp; Component Lbs'!Q133/'Pool Lbs &amp; Component Lbs'!$U133</f>
        <v>4.1187505928122391E-2</v>
      </c>
      <c r="J124" s="188">
        <f>+'Pool Lbs &amp; Component Lbs'!R133/'Pool Lbs &amp; Component Lbs'!$U133</f>
        <v>1.5775910050548882E-2</v>
      </c>
      <c r="K124" s="188">
        <f>+'Pool Lbs &amp; Component Lbs'!S133/'Pool Lbs &amp; Component Lbs'!$U133</f>
        <v>0.34582228509024554</v>
      </c>
      <c r="L124" s="189">
        <f>+'Pool Lbs &amp; Component Lbs'!T133/'Pool Lbs &amp; Component Lbs'!$U133</f>
        <v>0.41161833872482412</v>
      </c>
    </row>
    <row r="125" spans="1:12" ht="15.75" thickTop="1">
      <c r="A125" s="168">
        <f>+'Pool Lbs &amp; Component Lbs'!A135</f>
        <v>2010</v>
      </c>
      <c r="B125" s="169" t="str">
        <f>+'Pool Lbs &amp; Component Lbs'!B135</f>
        <v>JANUARY</v>
      </c>
      <c r="C125" s="196">
        <f>+'Pool Lbs &amp; Component Lbs'!I135/'Pool Lbs &amp; Component Lbs'!N135</f>
        <v>8.9053820689649704E-2</v>
      </c>
      <c r="D125" s="174">
        <f>+'Pool Lbs &amp; Component Lbs'!J135/'Pool Lbs &amp; Component Lbs'!N135</f>
        <v>6.7694230918026232E-2</v>
      </c>
      <c r="E125" s="174">
        <f>+'Pool Lbs &amp; Component Lbs'!K135/'Pool Lbs &amp; Component Lbs'!N135</f>
        <v>5.0330015345528042E-2</v>
      </c>
      <c r="F125" s="174">
        <f>+'Pool Lbs &amp; Component Lbs'!L135/'Pool Lbs &amp; Component Lbs'!N135</f>
        <v>0.44501934784923297</v>
      </c>
      <c r="G125" s="203">
        <f>+'Pool Lbs &amp; Component Lbs'!M135/'Pool Lbs &amp; Component Lbs'!N135</f>
        <v>0.34790258519756306</v>
      </c>
      <c r="H125" s="209">
        <f>+'Pool Lbs &amp; Component Lbs'!P135/'Pool Lbs &amp; Component Lbs'!$U135</f>
        <v>0.1802168723373421</v>
      </c>
      <c r="I125" s="175">
        <f>+'Pool Lbs &amp; Component Lbs'!Q135/'Pool Lbs &amp; Component Lbs'!$U135</f>
        <v>4.0032954888126165E-2</v>
      </c>
      <c r="J125" s="175">
        <f>+'Pool Lbs &amp; Component Lbs'!R135/'Pool Lbs &amp; Component Lbs'!$U135</f>
        <v>1.9428185702782694E-2</v>
      </c>
      <c r="K125" s="175">
        <f>+'Pool Lbs &amp; Component Lbs'!S135/'Pool Lbs &amp; Component Lbs'!$U135</f>
        <v>0.35295673097657082</v>
      </c>
      <c r="L125" s="176">
        <f>+'Pool Lbs &amp; Component Lbs'!T135/'Pool Lbs &amp; Component Lbs'!$U135</f>
        <v>0.40736525609517821</v>
      </c>
    </row>
    <row r="126" spans="1:12">
      <c r="A126" s="162">
        <f>+'Pool Lbs &amp; Component Lbs'!A136</f>
        <v>2010</v>
      </c>
      <c r="B126" s="163" t="str">
        <f>+'Pool Lbs &amp; Component Lbs'!B136</f>
        <v>FEBRUARY</v>
      </c>
      <c r="C126" s="197">
        <f>+'Pool Lbs &amp; Component Lbs'!I136/'Pool Lbs &amp; Component Lbs'!N136</f>
        <v>9.1250544185224144E-2</v>
      </c>
      <c r="D126" s="178">
        <f>+'Pool Lbs &amp; Component Lbs'!J136/'Pool Lbs &amp; Component Lbs'!N136</f>
        <v>6.589046583845902E-2</v>
      </c>
      <c r="E126" s="178">
        <f>+'Pool Lbs &amp; Component Lbs'!K136/'Pool Lbs &amp; Component Lbs'!N136</f>
        <v>5.6698142359515834E-2</v>
      </c>
      <c r="F126" s="178">
        <f>+'Pool Lbs &amp; Component Lbs'!L136/'Pool Lbs &amp; Component Lbs'!N136</f>
        <v>0.4456115622328215</v>
      </c>
      <c r="G126" s="204">
        <f>+'Pool Lbs &amp; Component Lbs'!M136/'Pool Lbs &amp; Component Lbs'!N136</f>
        <v>0.34054928538397949</v>
      </c>
      <c r="H126" s="210">
        <f>+'Pool Lbs &amp; Component Lbs'!P136/'Pool Lbs &amp; Component Lbs'!$U136</f>
        <v>0.18032882528333372</v>
      </c>
      <c r="I126" s="179">
        <f>+'Pool Lbs &amp; Component Lbs'!Q136/'Pool Lbs &amp; Component Lbs'!$U136</f>
        <v>4.0113974215034834E-2</v>
      </c>
      <c r="J126" s="179">
        <f>+'Pool Lbs &amp; Component Lbs'!R136/'Pool Lbs &amp; Component Lbs'!$U136</f>
        <v>2.1168880434422412E-2</v>
      </c>
      <c r="K126" s="179">
        <f>+'Pool Lbs &amp; Component Lbs'!S136/'Pool Lbs &amp; Component Lbs'!$U136</f>
        <v>0.35114835925751592</v>
      </c>
      <c r="L126" s="180">
        <f>+'Pool Lbs &amp; Component Lbs'!T136/'Pool Lbs &amp; Component Lbs'!$U136</f>
        <v>0.4072399608096931</v>
      </c>
    </row>
    <row r="127" spans="1:12">
      <c r="A127" s="162">
        <f>+'Pool Lbs &amp; Component Lbs'!A137</f>
        <v>2010</v>
      </c>
      <c r="B127" s="163" t="str">
        <f>+'Pool Lbs &amp; Component Lbs'!B137</f>
        <v>MARCH</v>
      </c>
      <c r="C127" s="197">
        <f>+'Pool Lbs &amp; Component Lbs'!I137/'Pool Lbs &amp; Component Lbs'!N137</f>
        <v>9.0253359602527991E-2</v>
      </c>
      <c r="D127" s="178">
        <f>+'Pool Lbs &amp; Component Lbs'!J137/'Pool Lbs &amp; Component Lbs'!N137</f>
        <v>7.8099355461229966E-2</v>
      </c>
      <c r="E127" s="178">
        <f>+'Pool Lbs &amp; Component Lbs'!K137/'Pool Lbs &amp; Component Lbs'!N137</f>
        <v>7.4258341851942397E-2</v>
      </c>
      <c r="F127" s="178">
        <f>+'Pool Lbs &amp; Component Lbs'!L137/'Pool Lbs &amp; Component Lbs'!N137</f>
        <v>0.40352823378021463</v>
      </c>
      <c r="G127" s="204">
        <f>+'Pool Lbs &amp; Component Lbs'!M137/'Pool Lbs &amp; Component Lbs'!N137</f>
        <v>0.35386070930408497</v>
      </c>
      <c r="H127" s="210">
        <f>+'Pool Lbs &amp; Component Lbs'!P137/'Pool Lbs &amp; Component Lbs'!$U137</f>
        <v>0.17780519550840057</v>
      </c>
      <c r="I127" s="179">
        <f>+'Pool Lbs &amp; Component Lbs'!Q137/'Pool Lbs &amp; Component Lbs'!$U137</f>
        <v>4.3641433427107829E-2</v>
      </c>
      <c r="J127" s="179">
        <f>+'Pool Lbs &amp; Component Lbs'!R137/'Pool Lbs &amp; Component Lbs'!$U137</f>
        <v>2.7125942449562058E-2</v>
      </c>
      <c r="K127" s="179">
        <f>+'Pool Lbs &amp; Component Lbs'!S137/'Pool Lbs &amp; Component Lbs'!$U137</f>
        <v>0.33499392655968663</v>
      </c>
      <c r="L127" s="180">
        <f>+'Pool Lbs &amp; Component Lbs'!T137/'Pool Lbs &amp; Component Lbs'!$U137</f>
        <v>0.41643350205524288</v>
      </c>
    </row>
    <row r="128" spans="1:12">
      <c r="A128" s="162">
        <f>+'Pool Lbs &amp; Component Lbs'!A138</f>
        <v>2010</v>
      </c>
      <c r="B128" s="163" t="str">
        <f>+'Pool Lbs &amp; Component Lbs'!B138</f>
        <v>APRIL</v>
      </c>
      <c r="C128" s="197">
        <f>+'Pool Lbs &amp; Component Lbs'!I138/'Pool Lbs &amp; Component Lbs'!N138</f>
        <v>9.0033197147257493E-2</v>
      </c>
      <c r="D128" s="178">
        <f>+'Pool Lbs &amp; Component Lbs'!J138/'Pool Lbs &amp; Component Lbs'!N138</f>
        <v>8.1768815776991827E-2</v>
      </c>
      <c r="E128" s="178">
        <f>+'Pool Lbs &amp; Component Lbs'!K138/'Pool Lbs &amp; Component Lbs'!N138</f>
        <v>9.1073549220586025E-2</v>
      </c>
      <c r="F128" s="178">
        <f>+'Pool Lbs &amp; Component Lbs'!L138/'Pool Lbs &amp; Component Lbs'!N138</f>
        <v>0.38493622034085478</v>
      </c>
      <c r="G128" s="204">
        <f>+'Pool Lbs &amp; Component Lbs'!M138/'Pool Lbs &amp; Component Lbs'!N138</f>
        <v>0.3521882175143099</v>
      </c>
      <c r="H128" s="210">
        <f>+'Pool Lbs &amp; Component Lbs'!P138/'Pool Lbs &amp; Component Lbs'!$U138</f>
        <v>0.17466662285328563</v>
      </c>
      <c r="I128" s="179">
        <f>+'Pool Lbs &amp; Component Lbs'!Q138/'Pool Lbs &amp; Component Lbs'!$U138</f>
        <v>4.0100392390257304E-2</v>
      </c>
      <c r="J128" s="179">
        <f>+'Pool Lbs &amp; Component Lbs'!R138/'Pool Lbs &amp; Component Lbs'!$U138</f>
        <v>2.8255966062808155E-2</v>
      </c>
      <c r="K128" s="179">
        <f>+'Pool Lbs &amp; Component Lbs'!S138/'Pool Lbs &amp; Component Lbs'!$U138</f>
        <v>0.3508014351258289</v>
      </c>
      <c r="L128" s="180">
        <f>+'Pool Lbs &amp; Component Lbs'!T138/'Pool Lbs &amp; Component Lbs'!$U138</f>
        <v>0.40617558356781996</v>
      </c>
    </row>
    <row r="129" spans="1:12">
      <c r="A129" s="162">
        <f>+'Pool Lbs &amp; Component Lbs'!A139</f>
        <v>2010</v>
      </c>
      <c r="B129" s="163" t="str">
        <f>+'Pool Lbs &amp; Component Lbs'!B139</f>
        <v>MAY</v>
      </c>
      <c r="C129" s="197">
        <f>+'Pool Lbs &amp; Component Lbs'!I139/'Pool Lbs &amp; Component Lbs'!N139</f>
        <v>8.477742826310726E-2</v>
      </c>
      <c r="D129" s="178">
        <f>+'Pool Lbs &amp; Component Lbs'!J139/'Pool Lbs &amp; Component Lbs'!N139</f>
        <v>8.8353328809025689E-2</v>
      </c>
      <c r="E129" s="178">
        <f>+'Pool Lbs &amp; Component Lbs'!K139/'Pool Lbs &amp; Component Lbs'!N139</f>
        <v>8.8025083977397486E-2</v>
      </c>
      <c r="F129" s="178">
        <f>+'Pool Lbs &amp; Component Lbs'!L139/'Pool Lbs &amp; Component Lbs'!N139</f>
        <v>0.3842952027994993</v>
      </c>
      <c r="G129" s="204">
        <f>+'Pool Lbs &amp; Component Lbs'!M139/'Pool Lbs &amp; Component Lbs'!N139</f>
        <v>0.35454895615097026</v>
      </c>
      <c r="H129" s="210">
        <f>+'Pool Lbs &amp; Component Lbs'!P139/'Pool Lbs &amp; Component Lbs'!$U139</f>
        <v>0.16640526377883427</v>
      </c>
      <c r="I129" s="179">
        <f>+'Pool Lbs &amp; Component Lbs'!Q139/'Pool Lbs &amp; Component Lbs'!$U139</f>
        <v>4.1476857501262537E-2</v>
      </c>
      <c r="J129" s="179">
        <f>+'Pool Lbs &amp; Component Lbs'!R139/'Pool Lbs &amp; Component Lbs'!$U139</f>
        <v>2.77305631449489E-2</v>
      </c>
      <c r="K129" s="179">
        <f>+'Pool Lbs &amp; Component Lbs'!S139/'Pool Lbs &amp; Component Lbs'!$U139</f>
        <v>0.35703090597948955</v>
      </c>
      <c r="L129" s="180">
        <f>+'Pool Lbs &amp; Component Lbs'!T139/'Pool Lbs &amp; Component Lbs'!$U139</f>
        <v>0.40735640959546471</v>
      </c>
    </row>
    <row r="130" spans="1:12">
      <c r="A130" s="162">
        <f>+'Pool Lbs &amp; Component Lbs'!A140</f>
        <v>2010</v>
      </c>
      <c r="B130" s="163" t="str">
        <f>+'Pool Lbs &amp; Component Lbs'!B140</f>
        <v>JUNE</v>
      </c>
      <c r="C130" s="197">
        <f>+'Pool Lbs &amp; Component Lbs'!I140/'Pool Lbs &amp; Component Lbs'!N140</f>
        <v>8.7008556568526949E-2</v>
      </c>
      <c r="D130" s="178">
        <f>+'Pool Lbs &amp; Component Lbs'!J140/'Pool Lbs &amp; Component Lbs'!N140</f>
        <v>9.0890413173483967E-2</v>
      </c>
      <c r="E130" s="178">
        <f>+'Pool Lbs &amp; Component Lbs'!K140/'Pool Lbs &amp; Component Lbs'!N140</f>
        <v>9.2127097246910011E-2</v>
      </c>
      <c r="F130" s="178">
        <f>+'Pool Lbs &amp; Component Lbs'!L140/'Pool Lbs &amp; Component Lbs'!N140</f>
        <v>0.36267345523235595</v>
      </c>
      <c r="G130" s="204">
        <f>+'Pool Lbs &amp; Component Lbs'!M140/'Pool Lbs &amp; Component Lbs'!N140</f>
        <v>0.36730047777872316</v>
      </c>
      <c r="H130" s="210">
        <f>+'Pool Lbs &amp; Component Lbs'!P140/'Pool Lbs &amp; Component Lbs'!$U140</f>
        <v>0.16220246870238098</v>
      </c>
      <c r="I130" s="179">
        <f>+'Pool Lbs &amp; Component Lbs'!Q140/'Pool Lbs &amp; Component Lbs'!$U140</f>
        <v>4.3003836123633343E-2</v>
      </c>
      <c r="J130" s="179">
        <f>+'Pool Lbs &amp; Component Lbs'!R140/'Pool Lbs &amp; Component Lbs'!$U140</f>
        <v>2.9643824048493157E-2</v>
      </c>
      <c r="K130" s="179">
        <f>+'Pool Lbs &amp; Component Lbs'!S140/'Pool Lbs &amp; Component Lbs'!$U140</f>
        <v>0.34393154422720956</v>
      </c>
      <c r="L130" s="180">
        <f>+'Pool Lbs &amp; Component Lbs'!T140/'Pool Lbs &amp; Component Lbs'!$U140</f>
        <v>0.42121832689828292</v>
      </c>
    </row>
    <row r="131" spans="1:12">
      <c r="A131" s="162">
        <f>+'Pool Lbs &amp; Component Lbs'!A141</f>
        <v>2010</v>
      </c>
      <c r="B131" s="163" t="str">
        <f>+'Pool Lbs &amp; Component Lbs'!B141</f>
        <v>JULY</v>
      </c>
      <c r="C131" s="197">
        <f>+'Pool Lbs &amp; Component Lbs'!I141/'Pool Lbs &amp; Component Lbs'!N141</f>
        <v>8.9313532419962025E-2</v>
      </c>
      <c r="D131" s="178">
        <f>+'Pool Lbs &amp; Component Lbs'!J141/'Pool Lbs &amp; Component Lbs'!N141</f>
        <v>8.4920984259355542E-2</v>
      </c>
      <c r="E131" s="178">
        <f>+'Pool Lbs &amp; Component Lbs'!K141/'Pool Lbs &amp; Component Lbs'!N141</f>
        <v>8.168682448222564E-2</v>
      </c>
      <c r="F131" s="178">
        <f>+'Pool Lbs &amp; Component Lbs'!L141/'Pool Lbs &amp; Component Lbs'!N141</f>
        <v>0.35879163518745444</v>
      </c>
      <c r="G131" s="204">
        <f>+'Pool Lbs &amp; Component Lbs'!M141/'Pool Lbs &amp; Component Lbs'!N141</f>
        <v>0.38528702365100237</v>
      </c>
      <c r="H131" s="210">
        <f>+'Pool Lbs &amp; Component Lbs'!P141/'Pool Lbs &amp; Component Lbs'!$U141</f>
        <v>0.16302000427545299</v>
      </c>
      <c r="I131" s="179">
        <f>+'Pool Lbs &amp; Component Lbs'!Q141/'Pool Lbs &amp; Component Lbs'!$U141</f>
        <v>4.2517098243337548E-2</v>
      </c>
      <c r="J131" s="179">
        <f>+'Pool Lbs &amp; Component Lbs'!R141/'Pool Lbs &amp; Component Lbs'!$U141</f>
        <v>2.7087457199627192E-2</v>
      </c>
      <c r="K131" s="179">
        <f>+'Pool Lbs &amp; Component Lbs'!S141/'Pool Lbs &amp; Component Lbs'!$U141</f>
        <v>0.32428664898484855</v>
      </c>
      <c r="L131" s="180">
        <f>+'Pool Lbs &amp; Component Lbs'!T141/'Pool Lbs &amp; Component Lbs'!$U141</f>
        <v>0.44308879129673373</v>
      </c>
    </row>
    <row r="132" spans="1:12">
      <c r="A132" s="162">
        <f>+'Pool Lbs &amp; Component Lbs'!A142</f>
        <v>2010</v>
      </c>
      <c r="B132" s="163" t="str">
        <f>+'Pool Lbs &amp; Component Lbs'!B142</f>
        <v>AUGUST</v>
      </c>
      <c r="C132" s="197">
        <f>+'Pool Lbs &amp; Component Lbs'!I142/'Pool Lbs &amp; Component Lbs'!N142</f>
        <v>9.3615088867846863E-2</v>
      </c>
      <c r="D132" s="178">
        <f>+'Pool Lbs &amp; Component Lbs'!J142/'Pool Lbs &amp; Component Lbs'!N142</f>
        <v>8.8372739576779186E-2</v>
      </c>
      <c r="E132" s="178">
        <f>+'Pool Lbs &amp; Component Lbs'!K142/'Pool Lbs &amp; Component Lbs'!N142</f>
        <v>9.7569567528802623E-2</v>
      </c>
      <c r="F132" s="178">
        <f>+'Pool Lbs &amp; Component Lbs'!L142/'Pool Lbs &amp; Component Lbs'!N142</f>
        <v>0.32641821448873881</v>
      </c>
      <c r="G132" s="204">
        <f>+'Pool Lbs &amp; Component Lbs'!M142/'Pool Lbs &amp; Component Lbs'!N142</f>
        <v>0.39402438953783253</v>
      </c>
      <c r="H132" s="210">
        <f>+'Pool Lbs &amp; Component Lbs'!P142/'Pool Lbs &amp; Component Lbs'!$U142</f>
        <v>0.17336729017088462</v>
      </c>
      <c r="I132" s="179">
        <f>+'Pool Lbs &amp; Component Lbs'!Q142/'Pool Lbs &amp; Component Lbs'!$U142</f>
        <v>4.3029280713569061E-2</v>
      </c>
      <c r="J132" s="179">
        <f>+'Pool Lbs &amp; Component Lbs'!R142/'Pool Lbs &amp; Component Lbs'!$U142</f>
        <v>2.8930229449087085E-2</v>
      </c>
      <c r="K132" s="179">
        <f>+'Pool Lbs &amp; Component Lbs'!S142/'Pool Lbs &amp; Component Lbs'!$U142</f>
        <v>0.30597199883724319</v>
      </c>
      <c r="L132" s="180">
        <f>+'Pool Lbs &amp; Component Lbs'!T142/'Pool Lbs &amp; Component Lbs'!$U142</f>
        <v>0.44870120082921605</v>
      </c>
    </row>
    <row r="133" spans="1:12">
      <c r="A133" s="162">
        <f>+'Pool Lbs &amp; Component Lbs'!A143</f>
        <v>2010</v>
      </c>
      <c r="B133" s="163" t="str">
        <f>+'Pool Lbs &amp; Component Lbs'!B143</f>
        <v>SEPTEMBER</v>
      </c>
      <c r="C133" s="197">
        <f>+'Pool Lbs &amp; Component Lbs'!I143/'Pool Lbs &amp; Component Lbs'!N143</f>
        <v>9.4294959763017785E-2</v>
      </c>
      <c r="D133" s="178">
        <f>+'Pool Lbs &amp; Component Lbs'!J143/'Pool Lbs &amp; Component Lbs'!N143</f>
        <v>9.7031840817215359E-2</v>
      </c>
      <c r="E133" s="178">
        <f>+'Pool Lbs &amp; Component Lbs'!K143/'Pool Lbs &amp; Component Lbs'!N143</f>
        <v>8.4288970100121263E-2</v>
      </c>
      <c r="F133" s="178">
        <f>+'Pool Lbs &amp; Component Lbs'!L143/'Pool Lbs &amp; Component Lbs'!N143</f>
        <v>0.32928462727991403</v>
      </c>
      <c r="G133" s="204">
        <f>+'Pool Lbs &amp; Component Lbs'!M143/'Pool Lbs &amp; Component Lbs'!N143</f>
        <v>0.3950996020397316</v>
      </c>
      <c r="H133" s="210">
        <f>+'Pool Lbs &amp; Component Lbs'!P143/'Pool Lbs &amp; Component Lbs'!$U143</f>
        <v>0.18058247411200756</v>
      </c>
      <c r="I133" s="179">
        <f>+'Pool Lbs &amp; Component Lbs'!Q143/'Pool Lbs &amp; Component Lbs'!$U143</f>
        <v>4.5067212387154207E-2</v>
      </c>
      <c r="J133" s="179">
        <f>+'Pool Lbs &amp; Component Lbs'!R143/'Pool Lbs &amp; Component Lbs'!$U143</f>
        <v>2.5459719620765105E-2</v>
      </c>
      <c r="K133" s="179">
        <f>+'Pool Lbs &amp; Component Lbs'!S143/'Pool Lbs &amp; Component Lbs'!$U143</f>
        <v>0.2990876693319568</v>
      </c>
      <c r="L133" s="180">
        <f>+'Pool Lbs &amp; Component Lbs'!T143/'Pool Lbs &amp; Component Lbs'!$U143</f>
        <v>0.44980292454811632</v>
      </c>
    </row>
    <row r="134" spans="1:12">
      <c r="A134" s="162">
        <f>+'Pool Lbs &amp; Component Lbs'!A144</f>
        <v>2010</v>
      </c>
      <c r="B134" s="163" t="str">
        <f>+'Pool Lbs &amp; Component Lbs'!B144</f>
        <v>OCTOBER</v>
      </c>
      <c r="C134" s="197">
        <f>+'Pool Lbs &amp; Component Lbs'!I144/'Pool Lbs &amp; Component Lbs'!N144</f>
        <v>9.2337379041986092E-2</v>
      </c>
      <c r="D134" s="178">
        <f>+'Pool Lbs &amp; Component Lbs'!J144/'Pool Lbs &amp; Component Lbs'!N144</f>
        <v>9.7297034419400769E-2</v>
      </c>
      <c r="E134" s="178">
        <f>+'Pool Lbs &amp; Component Lbs'!K144/'Pool Lbs &amp; Component Lbs'!N144</f>
        <v>6.0886641368800384E-2</v>
      </c>
      <c r="F134" s="178">
        <f>+'Pool Lbs &amp; Component Lbs'!L144/'Pool Lbs &amp; Component Lbs'!N144</f>
        <v>0.37301297275826678</v>
      </c>
      <c r="G134" s="204">
        <f>+'Pool Lbs &amp; Component Lbs'!M144/'Pool Lbs &amp; Component Lbs'!N144</f>
        <v>0.376465972411546</v>
      </c>
      <c r="H134" s="210">
        <f>+'Pool Lbs &amp; Component Lbs'!P144/'Pool Lbs &amp; Component Lbs'!$U144</f>
        <v>0.18186700257844385</v>
      </c>
      <c r="I134" s="179">
        <f>+'Pool Lbs &amp; Component Lbs'!Q144/'Pool Lbs &amp; Component Lbs'!$U144</f>
        <v>4.1308134650913243E-2</v>
      </c>
      <c r="J134" s="179">
        <f>+'Pool Lbs &amp; Component Lbs'!R144/'Pool Lbs &amp; Component Lbs'!$U144</f>
        <v>2.0681625520249113E-2</v>
      </c>
      <c r="K134" s="179">
        <f>+'Pool Lbs &amp; Component Lbs'!S144/'Pool Lbs &amp; Component Lbs'!$U144</f>
        <v>0.3147989803475314</v>
      </c>
      <c r="L134" s="180">
        <f>+'Pool Lbs &amp; Component Lbs'!T144/'Pool Lbs &amp; Component Lbs'!$U144</f>
        <v>0.44134425690286239</v>
      </c>
    </row>
    <row r="135" spans="1:12">
      <c r="A135" s="162">
        <f>+'Pool Lbs &amp; Component Lbs'!A145</f>
        <v>2010</v>
      </c>
      <c r="B135" s="163" t="str">
        <f>+'Pool Lbs &amp; Component Lbs'!B145</f>
        <v>NOVEMBER</v>
      </c>
      <c r="C135" s="197">
        <f>+'Pool Lbs &amp; Component Lbs'!I145/'Pool Lbs &amp; Component Lbs'!N145</f>
        <v>9.2775649035002086E-2</v>
      </c>
      <c r="D135" s="178">
        <f>+'Pool Lbs &amp; Component Lbs'!J145/'Pool Lbs &amp; Component Lbs'!N145</f>
        <v>9.1919823242575263E-2</v>
      </c>
      <c r="E135" s="178">
        <f>+'Pool Lbs &amp; Component Lbs'!K145/'Pool Lbs &amp; Component Lbs'!N145</f>
        <v>4.3955758450754168E-2</v>
      </c>
      <c r="F135" s="178">
        <f>+'Pool Lbs &amp; Component Lbs'!L145/'Pool Lbs &amp; Component Lbs'!N145</f>
        <v>0.38642863750160628</v>
      </c>
      <c r="G135" s="204">
        <f>+'Pool Lbs &amp; Component Lbs'!M145/'Pool Lbs &amp; Component Lbs'!N145</f>
        <v>0.38492013177006223</v>
      </c>
      <c r="H135" s="210">
        <f>+'Pool Lbs &amp; Component Lbs'!P145/'Pool Lbs &amp; Component Lbs'!$U145</f>
        <v>0.17948052274584683</v>
      </c>
      <c r="I135" s="179">
        <f>+'Pool Lbs &amp; Component Lbs'!Q145/'Pool Lbs &amp; Component Lbs'!$U145</f>
        <v>4.338130374718184E-2</v>
      </c>
      <c r="J135" s="179">
        <f>+'Pool Lbs &amp; Component Lbs'!R145/'Pool Lbs &amp; Component Lbs'!$U145</f>
        <v>1.721198772826037E-2</v>
      </c>
      <c r="K135" s="179">
        <f>+'Pool Lbs &amp; Component Lbs'!S145/'Pool Lbs &amp; Component Lbs'!$U145</f>
        <v>0.31880948620723859</v>
      </c>
      <c r="L135" s="180">
        <f>+'Pool Lbs &amp; Component Lbs'!T145/'Pool Lbs &amp; Component Lbs'!$U145</f>
        <v>0.44111669957147237</v>
      </c>
    </row>
    <row r="136" spans="1:12" ht="15.75" thickBot="1">
      <c r="A136" s="166">
        <f>+'Pool Lbs &amp; Component Lbs'!A146</f>
        <v>2010</v>
      </c>
      <c r="B136" s="167" t="str">
        <f>+'Pool Lbs &amp; Component Lbs'!B146</f>
        <v>DECEMBER</v>
      </c>
      <c r="C136" s="198">
        <f>+'Pool Lbs &amp; Component Lbs'!I146/'Pool Lbs &amp; Component Lbs'!N146</f>
        <v>9.1142153138504753E-2</v>
      </c>
      <c r="D136" s="181">
        <f>+'Pool Lbs &amp; Component Lbs'!J146/'Pool Lbs &amp; Component Lbs'!N146</f>
        <v>7.4740853694619178E-2</v>
      </c>
      <c r="E136" s="181">
        <f>+'Pool Lbs &amp; Component Lbs'!K146/'Pool Lbs &amp; Component Lbs'!N146</f>
        <v>3.7336228097836793E-2</v>
      </c>
      <c r="F136" s="181">
        <f>+'Pool Lbs &amp; Component Lbs'!L146/'Pool Lbs &amp; Component Lbs'!N146</f>
        <v>0.42884638811701797</v>
      </c>
      <c r="G136" s="205">
        <f>+'Pool Lbs &amp; Component Lbs'!M146/'Pool Lbs &amp; Component Lbs'!N146</f>
        <v>0.3679343769520213</v>
      </c>
      <c r="H136" s="211">
        <f>+'Pool Lbs &amp; Component Lbs'!P146/'Pool Lbs &amp; Component Lbs'!$U146</f>
        <v>0.1773137782263951</v>
      </c>
      <c r="I136" s="182">
        <f>+'Pool Lbs &amp; Component Lbs'!Q146/'Pool Lbs &amp; Component Lbs'!$U146</f>
        <v>3.9784383725773455E-2</v>
      </c>
      <c r="J136" s="182">
        <f>+'Pool Lbs &amp; Component Lbs'!R146/'Pool Lbs &amp; Component Lbs'!$U146</f>
        <v>1.3978727945432362E-2</v>
      </c>
      <c r="K136" s="182">
        <f>+'Pool Lbs &amp; Component Lbs'!S146/'Pool Lbs &amp; Component Lbs'!$U146</f>
        <v>0.33880304724931443</v>
      </c>
      <c r="L136" s="183">
        <f>+'Pool Lbs &amp; Component Lbs'!T146/'Pool Lbs &amp; Component Lbs'!$U146</f>
        <v>0.43012006285308463</v>
      </c>
    </row>
    <row r="137" spans="1:12" ht="15.75" thickTop="1">
      <c r="A137" s="170">
        <f>+'Pool Lbs &amp; Component Lbs'!A148</f>
        <v>2011</v>
      </c>
      <c r="B137" s="171" t="str">
        <f>+'Pool Lbs &amp; Component Lbs'!B148</f>
        <v>JANUARY</v>
      </c>
      <c r="C137" s="199">
        <f>+'Pool Lbs &amp; Component Lbs'!I148/'Pool Lbs &amp; Component Lbs'!N148</f>
        <v>8.123252104860354E-2</v>
      </c>
      <c r="D137" s="184">
        <f>+'Pool Lbs &amp; Component Lbs'!J148/'Pool Lbs &amp; Component Lbs'!N148</f>
        <v>5.8399679148537727E-2</v>
      </c>
      <c r="E137" s="184">
        <f>+'Pool Lbs &amp; Component Lbs'!K148/'Pool Lbs &amp; Component Lbs'!N148</f>
        <v>4.8578975984660905E-2</v>
      </c>
      <c r="F137" s="184">
        <f>+'Pool Lbs &amp; Component Lbs'!L148/'Pool Lbs &amp; Component Lbs'!N148</f>
        <v>0.42062602925892906</v>
      </c>
      <c r="G137" s="206">
        <f>+'Pool Lbs &amp; Component Lbs'!M148/'Pool Lbs &amp; Component Lbs'!N148</f>
        <v>0.39116279455926878</v>
      </c>
      <c r="H137" s="212">
        <f>+'Pool Lbs &amp; Component Lbs'!P148/'Pool Lbs &amp; Component Lbs'!$U148</f>
        <v>0.16942400752056616</v>
      </c>
      <c r="I137" s="185">
        <f>+'Pool Lbs &amp; Component Lbs'!Q148/'Pool Lbs &amp; Component Lbs'!$U148</f>
        <v>3.7867124845190399E-2</v>
      </c>
      <c r="J137" s="185">
        <f>+'Pool Lbs &amp; Component Lbs'!R148/'Pool Lbs &amp; Component Lbs'!$U148</f>
        <v>1.9841963244696413E-2</v>
      </c>
      <c r="K137" s="185">
        <f>+'Pool Lbs &amp; Component Lbs'!S148/'Pool Lbs &amp; Component Lbs'!$U148</f>
        <v>0.31939954210161775</v>
      </c>
      <c r="L137" s="186">
        <f>+'Pool Lbs &amp; Component Lbs'!T148/'Pool Lbs &amp; Component Lbs'!$U148</f>
        <v>0.45346736228792928</v>
      </c>
    </row>
    <row r="138" spans="1:12">
      <c r="A138" s="162">
        <f>+'Pool Lbs &amp; Component Lbs'!A149</f>
        <v>2011</v>
      </c>
      <c r="B138" s="163" t="str">
        <f>+'Pool Lbs &amp; Component Lbs'!B149</f>
        <v>FEBRUARY</v>
      </c>
      <c r="C138" s="197">
        <f>+'Pool Lbs &amp; Component Lbs'!I149/'Pool Lbs &amp; Component Lbs'!N149</f>
        <v>7.9634702007712305E-2</v>
      </c>
      <c r="D138" s="178">
        <f>+'Pool Lbs &amp; Component Lbs'!J149/'Pool Lbs &amp; Component Lbs'!N149</f>
        <v>7.2938436944600976E-2</v>
      </c>
      <c r="E138" s="178">
        <f>+'Pool Lbs &amp; Component Lbs'!K149/'Pool Lbs &amp; Component Lbs'!N149</f>
        <v>6.2457473194400127E-2</v>
      </c>
      <c r="F138" s="178">
        <f>+'Pool Lbs &amp; Component Lbs'!L149/'Pool Lbs &amp; Component Lbs'!N149</f>
        <v>0.40844017955841361</v>
      </c>
      <c r="G138" s="204">
        <f>+'Pool Lbs &amp; Component Lbs'!M149/'Pool Lbs &amp; Component Lbs'!N149</f>
        <v>0.37652920829487296</v>
      </c>
      <c r="H138" s="210">
        <f>+'Pool Lbs &amp; Component Lbs'!P149/'Pool Lbs &amp; Component Lbs'!$U149</f>
        <v>0.16253691449151395</v>
      </c>
      <c r="I138" s="179">
        <f>+'Pool Lbs &amp; Component Lbs'!Q149/'Pool Lbs &amp; Component Lbs'!$U149</f>
        <v>3.913970851042161E-2</v>
      </c>
      <c r="J138" s="179">
        <f>+'Pool Lbs &amp; Component Lbs'!R149/'Pool Lbs &amp; Component Lbs'!$U149</f>
        <v>2.3931712557899193E-2</v>
      </c>
      <c r="K138" s="179">
        <f>+'Pool Lbs &amp; Component Lbs'!S149/'Pool Lbs &amp; Component Lbs'!$U149</f>
        <v>0.32633655399159883</v>
      </c>
      <c r="L138" s="180">
        <f>+'Pool Lbs &amp; Component Lbs'!T149/'Pool Lbs &amp; Component Lbs'!$U149</f>
        <v>0.44805511044856644</v>
      </c>
    </row>
    <row r="139" spans="1:12">
      <c r="A139" s="162">
        <f>+'Pool Lbs &amp; Component Lbs'!A150</f>
        <v>2011</v>
      </c>
      <c r="B139" s="163" t="str">
        <f>+'Pool Lbs &amp; Component Lbs'!B150</f>
        <v>MARCH</v>
      </c>
      <c r="C139" s="197">
        <f>+'Pool Lbs &amp; Component Lbs'!I150/'Pool Lbs &amp; Component Lbs'!N150</f>
        <v>7.8801586979802246E-2</v>
      </c>
      <c r="D139" s="178">
        <f>+'Pool Lbs &amp; Component Lbs'!J150/'Pool Lbs &amp; Component Lbs'!N150</f>
        <v>7.6791637363017154E-2</v>
      </c>
      <c r="E139" s="178">
        <f>+'Pool Lbs &amp; Component Lbs'!K150/'Pool Lbs &amp; Component Lbs'!N150</f>
        <v>7.6099327443651679E-2</v>
      </c>
      <c r="F139" s="178">
        <f>+'Pool Lbs &amp; Component Lbs'!L150/'Pool Lbs &amp; Component Lbs'!N150</f>
        <v>0.39423552090667036</v>
      </c>
      <c r="G139" s="204">
        <f>+'Pool Lbs &amp; Component Lbs'!M150/'Pool Lbs &amp; Component Lbs'!N150</f>
        <v>0.37407192730685856</v>
      </c>
      <c r="H139" s="210">
        <f>+'Pool Lbs &amp; Component Lbs'!P150/'Pool Lbs &amp; Component Lbs'!$U150</f>
        <v>0.16411788205730116</v>
      </c>
      <c r="I139" s="179">
        <f>+'Pool Lbs &amp; Component Lbs'!Q150/'Pool Lbs &amp; Component Lbs'!$U150</f>
        <v>3.7624430266444596E-2</v>
      </c>
      <c r="J139" s="179">
        <f>+'Pool Lbs &amp; Component Lbs'!R150/'Pool Lbs &amp; Component Lbs'!$U150</f>
        <v>2.6897208151030499E-2</v>
      </c>
      <c r="K139" s="179">
        <f>+'Pool Lbs &amp; Component Lbs'!S150/'Pool Lbs &amp; Component Lbs'!$U150</f>
        <v>0.33376663639958393</v>
      </c>
      <c r="L139" s="180">
        <f>+'Pool Lbs &amp; Component Lbs'!T150/'Pool Lbs &amp; Component Lbs'!$U150</f>
        <v>0.43759384312563981</v>
      </c>
    </row>
    <row r="140" spans="1:12">
      <c r="A140" s="162">
        <f>+'Pool Lbs &amp; Component Lbs'!A151</f>
        <v>2011</v>
      </c>
      <c r="B140" s="163" t="str">
        <f>+'Pool Lbs &amp; Component Lbs'!B151</f>
        <v>APRIL</v>
      </c>
      <c r="C140" s="197">
        <f>+'Pool Lbs &amp; Component Lbs'!I151/'Pool Lbs &amp; Component Lbs'!N151</f>
        <v>7.312913820990527E-2</v>
      </c>
      <c r="D140" s="178">
        <f>+'Pool Lbs &amp; Component Lbs'!J151/'Pool Lbs &amp; Component Lbs'!N151</f>
        <v>6.2070939211493821E-2</v>
      </c>
      <c r="E140" s="178">
        <f>+'Pool Lbs &amp; Component Lbs'!K151/'Pool Lbs &amp; Component Lbs'!N151</f>
        <v>6.0804713584043116E-2</v>
      </c>
      <c r="F140" s="178">
        <f>+'Pool Lbs &amp; Component Lbs'!L151/'Pool Lbs &amp; Component Lbs'!N151</f>
        <v>0.42236796110016567</v>
      </c>
      <c r="G140" s="204">
        <f>+'Pool Lbs &amp; Component Lbs'!M151/'Pool Lbs &amp; Component Lbs'!N151</f>
        <v>0.38162724789439212</v>
      </c>
      <c r="H140" s="210">
        <f>+'Pool Lbs &amp; Component Lbs'!P151/'Pool Lbs &amp; Component Lbs'!$U151</f>
        <v>0.14871738950569191</v>
      </c>
      <c r="I140" s="179">
        <f>+'Pool Lbs &amp; Component Lbs'!Q151/'Pool Lbs &amp; Component Lbs'!$U151</f>
        <v>3.7064997343558705E-2</v>
      </c>
      <c r="J140" s="179">
        <f>+'Pool Lbs &amp; Component Lbs'!R151/'Pool Lbs &amp; Component Lbs'!$U151</f>
        <v>2.3573803498942673E-2</v>
      </c>
      <c r="K140" s="179">
        <f>+'Pool Lbs &amp; Component Lbs'!S151/'Pool Lbs &amp; Component Lbs'!$U151</f>
        <v>0.34830518037551372</v>
      </c>
      <c r="L140" s="180">
        <f>+'Pool Lbs &amp; Component Lbs'!T151/'Pool Lbs &amp; Component Lbs'!$U151</f>
        <v>0.44233862927629297</v>
      </c>
    </row>
    <row r="141" spans="1:12">
      <c r="A141" s="162">
        <f>+'Pool Lbs &amp; Component Lbs'!A152</f>
        <v>2011</v>
      </c>
      <c r="B141" s="163" t="str">
        <f>+'Pool Lbs &amp; Component Lbs'!B152</f>
        <v>MAY</v>
      </c>
      <c r="C141" s="197">
        <f>+'Pool Lbs &amp; Component Lbs'!I152/'Pool Lbs &amp; Component Lbs'!N152</f>
        <v>7.6129490021015184E-2</v>
      </c>
      <c r="D141" s="178">
        <f>+'Pool Lbs &amp; Component Lbs'!J152/'Pool Lbs &amp; Component Lbs'!N152</f>
        <v>7.0944865668652282E-2</v>
      </c>
      <c r="E141" s="178">
        <f>+'Pool Lbs &amp; Component Lbs'!K152/'Pool Lbs &amp; Component Lbs'!N152</f>
        <v>5.9020194692860142E-2</v>
      </c>
      <c r="F141" s="178">
        <f>+'Pool Lbs &amp; Component Lbs'!L152/'Pool Lbs &amp; Component Lbs'!N152</f>
        <v>0.41282766920313396</v>
      </c>
      <c r="G141" s="204">
        <f>+'Pool Lbs &amp; Component Lbs'!M152/'Pool Lbs &amp; Component Lbs'!N152</f>
        <v>0.38107778041433837</v>
      </c>
      <c r="H141" s="210">
        <f>+'Pool Lbs &amp; Component Lbs'!P152/'Pool Lbs &amp; Component Lbs'!$U152</f>
        <v>0.15304608476192716</v>
      </c>
      <c r="I141" s="179">
        <f>+'Pool Lbs &amp; Component Lbs'!Q152/'Pool Lbs &amp; Component Lbs'!$U152</f>
        <v>3.7696981325782815E-2</v>
      </c>
      <c r="J141" s="179">
        <f>+'Pool Lbs &amp; Component Lbs'!R152/'Pool Lbs &amp; Component Lbs'!$U152</f>
        <v>2.4013971505923496E-2</v>
      </c>
      <c r="K141" s="179">
        <f>+'Pool Lbs &amp; Component Lbs'!S152/'Pool Lbs &amp; Component Lbs'!$U152</f>
        <v>0.3400084804829771</v>
      </c>
      <c r="L141" s="180">
        <f>+'Pool Lbs &amp; Component Lbs'!T152/'Pool Lbs &amp; Component Lbs'!$U152</f>
        <v>0.44523448192338944</v>
      </c>
    </row>
    <row r="142" spans="1:12">
      <c r="A142" s="162">
        <f>+'Pool Lbs &amp; Component Lbs'!A153</f>
        <v>2011</v>
      </c>
      <c r="B142" s="163" t="str">
        <f>+'Pool Lbs &amp; Component Lbs'!B153</f>
        <v>JUNE</v>
      </c>
      <c r="C142" s="197">
        <f>+'Pool Lbs &amp; Component Lbs'!I153/'Pool Lbs &amp; Component Lbs'!N153</f>
        <v>7.5834323705567613E-2</v>
      </c>
      <c r="D142" s="178">
        <f>+'Pool Lbs &amp; Component Lbs'!J153/'Pool Lbs &amp; Component Lbs'!N153</f>
        <v>8.1835798362053971E-2</v>
      </c>
      <c r="E142" s="178">
        <f>+'Pool Lbs &amp; Component Lbs'!K153/'Pool Lbs &amp; Component Lbs'!N153</f>
        <v>8.292110135499571E-2</v>
      </c>
      <c r="F142" s="178">
        <f>+'Pool Lbs &amp; Component Lbs'!L153/'Pool Lbs &amp; Component Lbs'!N153</f>
        <v>0.37905291479326797</v>
      </c>
      <c r="G142" s="204">
        <f>+'Pool Lbs &amp; Component Lbs'!M153/'Pool Lbs &amp; Component Lbs'!N153</f>
        <v>0.38035586178411473</v>
      </c>
      <c r="H142" s="210">
        <f>+'Pool Lbs &amp; Component Lbs'!P153/'Pool Lbs &amp; Component Lbs'!$U153</f>
        <v>0.14678680076658054</v>
      </c>
      <c r="I142" s="179">
        <f>+'Pool Lbs &amp; Component Lbs'!Q153/'Pool Lbs &amp; Component Lbs'!$U153</f>
        <v>4.1491527956556001E-2</v>
      </c>
      <c r="J142" s="179">
        <f>+'Pool Lbs &amp; Component Lbs'!R153/'Pool Lbs &amp; Component Lbs'!$U153</f>
        <v>2.7266574666452829E-2</v>
      </c>
      <c r="K142" s="179">
        <f>+'Pool Lbs &amp; Component Lbs'!S153/'Pool Lbs &amp; Component Lbs'!$U153</f>
        <v>0.34426302355919258</v>
      </c>
      <c r="L142" s="180">
        <f>+'Pool Lbs &amp; Component Lbs'!T153/'Pool Lbs &amp; Component Lbs'!$U153</f>
        <v>0.4401920730512181</v>
      </c>
    </row>
    <row r="143" spans="1:12">
      <c r="A143" s="162">
        <f>+'Pool Lbs &amp; Component Lbs'!A154</f>
        <v>2011</v>
      </c>
      <c r="B143" s="163" t="str">
        <f>+'Pool Lbs &amp; Component Lbs'!B154</f>
        <v>JULY</v>
      </c>
      <c r="C143" s="197">
        <f>+'Pool Lbs &amp; Component Lbs'!I154/'Pool Lbs &amp; Component Lbs'!N154</f>
        <v>7.6087990800234678E-2</v>
      </c>
      <c r="D143" s="178">
        <f>+'Pool Lbs &amp; Component Lbs'!J154/'Pool Lbs &amp; Component Lbs'!N154</f>
        <v>7.6337627471562405E-2</v>
      </c>
      <c r="E143" s="178">
        <f>+'Pool Lbs &amp; Component Lbs'!K154/'Pool Lbs &amp; Component Lbs'!N154</f>
        <v>7.8430709507287047E-2</v>
      </c>
      <c r="F143" s="178">
        <f>+'Pool Lbs &amp; Component Lbs'!L154/'Pool Lbs &amp; Component Lbs'!N154</f>
        <v>0.38200387475071573</v>
      </c>
      <c r="G143" s="204">
        <f>+'Pool Lbs &amp; Component Lbs'!M154/'Pool Lbs &amp; Component Lbs'!N154</f>
        <v>0.38713979747020011</v>
      </c>
      <c r="H143" s="210">
        <f>+'Pool Lbs &amp; Component Lbs'!P154/'Pool Lbs &amp; Component Lbs'!$U154</f>
        <v>0.14170325223762623</v>
      </c>
      <c r="I143" s="179">
        <f>+'Pool Lbs &amp; Component Lbs'!Q154/'Pool Lbs &amp; Component Lbs'!$U154</f>
        <v>4.0585415208406299E-2</v>
      </c>
      <c r="J143" s="179">
        <f>+'Pool Lbs &amp; Component Lbs'!R154/'Pool Lbs &amp; Component Lbs'!$U154</f>
        <v>2.6291827967776335E-2</v>
      </c>
      <c r="K143" s="179">
        <f>+'Pool Lbs &amp; Component Lbs'!S154/'Pool Lbs &amp; Component Lbs'!$U154</f>
        <v>0.34350295722383467</v>
      </c>
      <c r="L143" s="180">
        <f>+'Pool Lbs &amp; Component Lbs'!T154/'Pool Lbs &amp; Component Lbs'!$U154</f>
        <v>0.44791654736235648</v>
      </c>
    </row>
    <row r="144" spans="1:12">
      <c r="A144" s="162">
        <f>+'Pool Lbs &amp; Component Lbs'!A155</f>
        <v>2011</v>
      </c>
      <c r="B144" s="163" t="str">
        <f>+'Pool Lbs &amp; Component Lbs'!B155</f>
        <v>AUGUST</v>
      </c>
      <c r="C144" s="197">
        <f>+'Pool Lbs &amp; Component Lbs'!I155/'Pool Lbs &amp; Component Lbs'!N155</f>
        <v>8.3686255354440603E-2</v>
      </c>
      <c r="D144" s="178">
        <f>+'Pool Lbs &amp; Component Lbs'!J155/'Pool Lbs &amp; Component Lbs'!N155</f>
        <v>7.2198471845149076E-2</v>
      </c>
      <c r="E144" s="178">
        <f>+'Pool Lbs &amp; Component Lbs'!K155/'Pool Lbs &amp; Component Lbs'!N155</f>
        <v>7.9762768591205915E-2</v>
      </c>
      <c r="F144" s="178">
        <f>+'Pool Lbs &amp; Component Lbs'!L155/'Pool Lbs &amp; Component Lbs'!N155</f>
        <v>0.36571455952294207</v>
      </c>
      <c r="G144" s="204">
        <f>+'Pool Lbs &amp; Component Lbs'!M155/'Pool Lbs &amp; Component Lbs'!N155</f>
        <v>0.39863794468626235</v>
      </c>
      <c r="H144" s="210">
        <f>+'Pool Lbs &amp; Component Lbs'!P155/'Pool Lbs &amp; Component Lbs'!$U155</f>
        <v>0.15933930939036459</v>
      </c>
      <c r="I144" s="179">
        <f>+'Pool Lbs &amp; Component Lbs'!Q155/'Pool Lbs &amp; Component Lbs'!$U155</f>
        <v>4.1471541512195474E-2</v>
      </c>
      <c r="J144" s="179">
        <f>+'Pool Lbs &amp; Component Lbs'!R155/'Pool Lbs &amp; Component Lbs'!$U155</f>
        <v>2.680905965019733E-2</v>
      </c>
      <c r="K144" s="179">
        <f>+'Pool Lbs &amp; Component Lbs'!S155/'Pool Lbs &amp; Component Lbs'!$U155</f>
        <v>0.31336806770725795</v>
      </c>
      <c r="L144" s="180">
        <f>+'Pool Lbs &amp; Component Lbs'!T155/'Pool Lbs &amp; Component Lbs'!$U155</f>
        <v>0.45901202173998468</v>
      </c>
    </row>
    <row r="145" spans="1:12">
      <c r="A145" s="162">
        <f>+'Pool Lbs &amp; Component Lbs'!A156</f>
        <v>2011</v>
      </c>
      <c r="B145" s="163" t="str">
        <f>+'Pool Lbs &amp; Component Lbs'!B156</f>
        <v>SEPTEMBER</v>
      </c>
      <c r="C145" s="197">
        <f>+'Pool Lbs &amp; Component Lbs'!I156/'Pool Lbs &amp; Component Lbs'!N156</f>
        <v>8.4717107114050741E-2</v>
      </c>
      <c r="D145" s="178">
        <f>+'Pool Lbs &amp; Component Lbs'!J156/'Pool Lbs &amp; Component Lbs'!N156</f>
        <v>7.1564842697627487E-2</v>
      </c>
      <c r="E145" s="178">
        <f>+'Pool Lbs &amp; Component Lbs'!K156/'Pool Lbs &amp; Component Lbs'!N156</f>
        <v>6.468069317014026E-2</v>
      </c>
      <c r="F145" s="178">
        <f>+'Pool Lbs &amp; Component Lbs'!L156/'Pool Lbs &amp; Component Lbs'!N156</f>
        <v>0.38134981726551986</v>
      </c>
      <c r="G145" s="204">
        <f>+'Pool Lbs &amp; Component Lbs'!M156/'Pool Lbs &amp; Component Lbs'!N156</f>
        <v>0.39768753975266163</v>
      </c>
      <c r="H145" s="210">
        <f>+'Pool Lbs &amp; Component Lbs'!P156/'Pool Lbs &amp; Component Lbs'!$U156</f>
        <v>0.16789036969963872</v>
      </c>
      <c r="I145" s="179">
        <f>+'Pool Lbs &amp; Component Lbs'!Q156/'Pool Lbs &amp; Component Lbs'!$U156</f>
        <v>4.1032561738270926E-2</v>
      </c>
      <c r="J145" s="179">
        <f>+'Pool Lbs &amp; Component Lbs'!R156/'Pool Lbs &amp; Component Lbs'!$U156</f>
        <v>2.2314898947689187E-2</v>
      </c>
      <c r="K145" s="179">
        <f>+'Pool Lbs &amp; Component Lbs'!S156/'Pool Lbs &amp; Component Lbs'!$U156</f>
        <v>0.30633129221774213</v>
      </c>
      <c r="L145" s="180">
        <f>+'Pool Lbs &amp; Component Lbs'!T156/'Pool Lbs &amp; Component Lbs'!$U156</f>
        <v>0.462430877396659</v>
      </c>
    </row>
    <row r="146" spans="1:12">
      <c r="A146" s="162">
        <f>+'Pool Lbs &amp; Component Lbs'!A157</f>
        <v>2011</v>
      </c>
      <c r="B146" s="163" t="str">
        <f>+'Pool Lbs &amp; Component Lbs'!B157</f>
        <v>OCTOBER</v>
      </c>
      <c r="C146" s="197">
        <f>+'Pool Lbs &amp; Component Lbs'!I157/'Pool Lbs &amp; Component Lbs'!N157</f>
        <v>8.2040716311810147E-2</v>
      </c>
      <c r="D146" s="178">
        <f>+'Pool Lbs &amp; Component Lbs'!J157/'Pool Lbs &amp; Component Lbs'!N157</f>
        <v>7.7591100026766738E-2</v>
      </c>
      <c r="E146" s="178">
        <f>+'Pool Lbs &amp; Component Lbs'!K157/'Pool Lbs &amp; Component Lbs'!N157</f>
        <v>5.7216764746243653E-2</v>
      </c>
      <c r="F146" s="178">
        <f>+'Pool Lbs &amp; Component Lbs'!L157/'Pool Lbs &amp; Component Lbs'!N157</f>
        <v>0.38842243065489646</v>
      </c>
      <c r="G146" s="204">
        <f>+'Pool Lbs &amp; Component Lbs'!M157/'Pool Lbs &amp; Component Lbs'!N157</f>
        <v>0.39472898826028302</v>
      </c>
      <c r="H146" s="210">
        <f>+'Pool Lbs &amp; Component Lbs'!P157/'Pool Lbs &amp; Component Lbs'!$U157</f>
        <v>0.16617125522831208</v>
      </c>
      <c r="I146" s="179">
        <f>+'Pool Lbs &amp; Component Lbs'!Q157/'Pool Lbs &amp; Component Lbs'!$U157</f>
        <v>4.1856767733255515E-2</v>
      </c>
      <c r="J146" s="179">
        <f>+'Pool Lbs &amp; Component Lbs'!R157/'Pool Lbs &amp; Component Lbs'!$U157</f>
        <v>2.122206133215522E-2</v>
      </c>
      <c r="K146" s="179">
        <f>+'Pool Lbs &amp; Component Lbs'!S157/'Pool Lbs &amp; Component Lbs'!$U157</f>
        <v>0.30497320487277568</v>
      </c>
      <c r="L146" s="180">
        <f>+'Pool Lbs &amp; Component Lbs'!T157/'Pool Lbs &amp; Component Lbs'!$U157</f>
        <v>0.46577671083350153</v>
      </c>
    </row>
    <row r="147" spans="1:12">
      <c r="A147" s="162">
        <f>+'Pool Lbs &amp; Component Lbs'!A158</f>
        <v>2011</v>
      </c>
      <c r="B147" s="163" t="str">
        <f>+'Pool Lbs &amp; Component Lbs'!B158</f>
        <v>NOVEMBER</v>
      </c>
      <c r="C147" s="197">
        <f>+'Pool Lbs &amp; Component Lbs'!I158/'Pool Lbs &amp; Component Lbs'!N158</f>
        <v>8.2162953229052732E-2</v>
      </c>
      <c r="D147" s="178">
        <f>+'Pool Lbs &amp; Component Lbs'!J158/'Pool Lbs &amp; Component Lbs'!N158</f>
        <v>8.3583020530936053E-2</v>
      </c>
      <c r="E147" s="178">
        <f>+'Pool Lbs &amp; Component Lbs'!K158/'Pool Lbs &amp; Component Lbs'!N158</f>
        <v>4.6596877046971109E-2</v>
      </c>
      <c r="F147" s="178">
        <f>+'Pool Lbs &amp; Component Lbs'!L158/'Pool Lbs &amp; Component Lbs'!N158</f>
        <v>0.40567768654870628</v>
      </c>
      <c r="G147" s="204">
        <f>+'Pool Lbs &amp; Component Lbs'!M158/'Pool Lbs &amp; Component Lbs'!N158</f>
        <v>0.38197946264433386</v>
      </c>
      <c r="H147" s="210">
        <f>+'Pool Lbs &amp; Component Lbs'!P158/'Pool Lbs &amp; Component Lbs'!$U158</f>
        <v>0.16770453894561316</v>
      </c>
      <c r="I147" s="179">
        <f>+'Pool Lbs &amp; Component Lbs'!Q158/'Pool Lbs &amp; Component Lbs'!$U158</f>
        <v>4.087670632104131E-2</v>
      </c>
      <c r="J147" s="179">
        <f>+'Pool Lbs &amp; Component Lbs'!R158/'Pool Lbs &amp; Component Lbs'!$U158</f>
        <v>1.8470588371541891E-2</v>
      </c>
      <c r="K147" s="179">
        <f>+'Pool Lbs &amp; Component Lbs'!S158/'Pool Lbs &amp; Component Lbs'!$U158</f>
        <v>0.32147819920461346</v>
      </c>
      <c r="L147" s="180">
        <f>+'Pool Lbs &amp; Component Lbs'!T158/'Pool Lbs &amp; Component Lbs'!$U158</f>
        <v>0.45146996715719018</v>
      </c>
    </row>
    <row r="148" spans="1:12" ht="15.75" thickBot="1">
      <c r="A148" s="172">
        <f>+'Pool Lbs &amp; Component Lbs'!A159</f>
        <v>2011</v>
      </c>
      <c r="B148" s="173" t="str">
        <f>+'Pool Lbs &amp; Component Lbs'!B159</f>
        <v>DECEMBER</v>
      </c>
      <c r="C148" s="200">
        <f>+'Pool Lbs &amp; Component Lbs'!I159/'Pool Lbs &amp; Component Lbs'!N159</f>
        <v>7.7979763413032768E-2</v>
      </c>
      <c r="D148" s="187">
        <f>+'Pool Lbs &amp; Component Lbs'!J159/'Pool Lbs &amp; Component Lbs'!N159</f>
        <v>7.0094593729059476E-2</v>
      </c>
      <c r="E148" s="187">
        <f>+'Pool Lbs &amp; Component Lbs'!K159/'Pool Lbs &amp; Component Lbs'!N159</f>
        <v>3.2845153492783323E-2</v>
      </c>
      <c r="F148" s="187">
        <f>+'Pool Lbs &amp; Component Lbs'!L159/'Pool Lbs &amp; Component Lbs'!N159</f>
        <v>0.43688187908710757</v>
      </c>
      <c r="G148" s="207">
        <f>+'Pool Lbs &amp; Component Lbs'!M159/'Pool Lbs &amp; Component Lbs'!N159</f>
        <v>0.38219861027801688</v>
      </c>
      <c r="H148" s="213">
        <f>+'Pool Lbs &amp; Component Lbs'!P159/'Pool Lbs &amp; Component Lbs'!$U159</f>
        <v>0.15607677271218895</v>
      </c>
      <c r="I148" s="188">
        <f>+'Pool Lbs &amp; Component Lbs'!Q159/'Pool Lbs &amp; Component Lbs'!$U159</f>
        <v>3.7076906460775758E-2</v>
      </c>
      <c r="J148" s="188">
        <f>+'Pool Lbs &amp; Component Lbs'!R159/'Pool Lbs &amp; Component Lbs'!$U159</f>
        <v>1.4694219677405479E-2</v>
      </c>
      <c r="K148" s="188">
        <f>+'Pool Lbs &amp; Component Lbs'!S159/'Pool Lbs &amp; Component Lbs'!$U159</f>
        <v>0.34316484681779735</v>
      </c>
      <c r="L148" s="189">
        <f>+'Pool Lbs &amp; Component Lbs'!T159/'Pool Lbs &amp; Component Lbs'!$U159</f>
        <v>0.44898725433183245</v>
      </c>
    </row>
    <row r="149" spans="1:12" ht="15.75" thickTop="1">
      <c r="A149" s="168">
        <f>+'Pool Lbs &amp; Component Lbs'!A161</f>
        <v>2012</v>
      </c>
      <c r="B149" s="169" t="str">
        <f>+'Pool Lbs &amp; Component Lbs'!B161</f>
        <v>JANUARY</v>
      </c>
      <c r="C149" s="196">
        <f>+'Pool Lbs &amp; Component Lbs'!I161/'Pool Lbs &amp; Component Lbs'!N161</f>
        <v>7.555852511153073E-2</v>
      </c>
      <c r="D149" s="174">
        <f>+'Pool Lbs &amp; Component Lbs'!J161/'Pool Lbs &amp; Component Lbs'!N161</f>
        <v>5.7929052683768002E-2</v>
      </c>
      <c r="E149" s="174">
        <f>+'Pool Lbs &amp; Component Lbs'!K161/'Pool Lbs &amp; Component Lbs'!N161</f>
        <v>4.2352081319469902E-2</v>
      </c>
      <c r="F149" s="174">
        <f>+'Pool Lbs &amp; Component Lbs'!L161/'Pool Lbs &amp; Component Lbs'!N161</f>
        <v>0.44512415450151682</v>
      </c>
      <c r="G149" s="203">
        <f>+'Pool Lbs &amp; Component Lbs'!M161/'Pool Lbs &amp; Component Lbs'!N161</f>
        <v>0.37903618638371456</v>
      </c>
      <c r="H149" s="209">
        <f>+'Pool Lbs &amp; Component Lbs'!P161/'Pool Lbs &amp; Component Lbs'!$U161</f>
        <v>0.15601003961728238</v>
      </c>
      <c r="I149" s="175">
        <f>+'Pool Lbs &amp; Component Lbs'!Q161/'Pool Lbs &amp; Component Lbs'!$U161</f>
        <v>3.9360151073727041E-2</v>
      </c>
      <c r="J149" s="175">
        <f>+'Pool Lbs &amp; Component Lbs'!R161/'Pool Lbs &amp; Component Lbs'!$U161</f>
        <v>1.8590729664806575E-2</v>
      </c>
      <c r="K149" s="175">
        <f>+'Pool Lbs &amp; Component Lbs'!S161/'Pool Lbs &amp; Component Lbs'!$U161</f>
        <v>0.34518830541892198</v>
      </c>
      <c r="L149" s="176">
        <f>+'Pool Lbs &amp; Component Lbs'!T161/'Pool Lbs &amp; Component Lbs'!$U161</f>
        <v>0.44085077422526203</v>
      </c>
    </row>
    <row r="150" spans="1:12">
      <c r="A150" s="162">
        <f>+'Pool Lbs &amp; Component Lbs'!A162</f>
        <v>2012</v>
      </c>
      <c r="B150" s="163" t="str">
        <f>+'Pool Lbs &amp; Component Lbs'!B162</f>
        <v>FEBRUARY</v>
      </c>
      <c r="C150" s="197">
        <f>+'Pool Lbs &amp; Component Lbs'!I162/'Pool Lbs &amp; Component Lbs'!N162</f>
        <v>7.2251487375012066E-2</v>
      </c>
      <c r="D150" s="178">
        <f>+'Pool Lbs &amp; Component Lbs'!J162/'Pool Lbs &amp; Component Lbs'!N162</f>
        <v>6.1538008571992805E-2</v>
      </c>
      <c r="E150" s="178">
        <f>+'Pool Lbs &amp; Component Lbs'!K162/'Pool Lbs &amp; Component Lbs'!N162</f>
        <v>4.8216656298441858E-2</v>
      </c>
      <c r="F150" s="178">
        <f>+'Pool Lbs &amp; Component Lbs'!L162/'Pool Lbs &amp; Component Lbs'!N162</f>
        <v>0.43639113127886703</v>
      </c>
      <c r="G150" s="204">
        <f>+'Pool Lbs &amp; Component Lbs'!M162/'Pool Lbs &amp; Component Lbs'!N162</f>
        <v>0.38160271647568622</v>
      </c>
      <c r="H150" s="210">
        <f>+'Pool Lbs &amp; Component Lbs'!P162/'Pool Lbs &amp; Component Lbs'!$U162</f>
        <v>0.14684560917686032</v>
      </c>
      <c r="I150" s="179">
        <f>+'Pool Lbs &amp; Component Lbs'!Q162/'Pool Lbs &amp; Component Lbs'!$U162</f>
        <v>3.8353350175226945E-2</v>
      </c>
      <c r="J150" s="179">
        <f>+'Pool Lbs &amp; Component Lbs'!R162/'Pool Lbs &amp; Component Lbs'!$U162</f>
        <v>2.2347795148671624E-2</v>
      </c>
      <c r="K150" s="179">
        <f>+'Pool Lbs &amp; Component Lbs'!S162/'Pool Lbs &amp; Component Lbs'!$U162</f>
        <v>0.34943374396684845</v>
      </c>
      <c r="L150" s="180">
        <f>+'Pool Lbs &amp; Component Lbs'!T162/'Pool Lbs &amp; Component Lbs'!$U162</f>
        <v>0.44301950153239267</v>
      </c>
    </row>
    <row r="151" spans="1:12">
      <c r="A151" s="162">
        <f>+'Pool Lbs &amp; Component Lbs'!A163</f>
        <v>2012</v>
      </c>
      <c r="B151" s="163" t="str">
        <f>+'Pool Lbs &amp; Component Lbs'!B163</f>
        <v>MARCH</v>
      </c>
      <c r="C151" s="197">
        <f>+'Pool Lbs &amp; Component Lbs'!I163/'Pool Lbs &amp; Component Lbs'!N163</f>
        <v>7.0614165346349123E-2</v>
      </c>
      <c r="D151" s="178">
        <f>+'Pool Lbs &amp; Component Lbs'!J163/'Pool Lbs &amp; Component Lbs'!N163</f>
        <v>6.1453720126407409E-2</v>
      </c>
      <c r="E151" s="178">
        <f>+'Pool Lbs &amp; Component Lbs'!K163/'Pool Lbs &amp; Component Lbs'!N163</f>
        <v>4.8571796563670999E-2</v>
      </c>
      <c r="F151" s="178">
        <f>+'Pool Lbs &amp; Component Lbs'!L163/'Pool Lbs &amp; Component Lbs'!N163</f>
        <v>0.44268541175954101</v>
      </c>
      <c r="G151" s="204">
        <f>+'Pool Lbs &amp; Component Lbs'!M163/'Pool Lbs &amp; Component Lbs'!N163</f>
        <v>0.37667490620403149</v>
      </c>
      <c r="H151" s="210">
        <f>+'Pool Lbs &amp; Component Lbs'!P163/'Pool Lbs &amp; Component Lbs'!$U163</f>
        <v>0.1427601595746697</v>
      </c>
      <c r="I151" s="179">
        <f>+'Pool Lbs &amp; Component Lbs'!Q163/'Pool Lbs &amp; Component Lbs'!$U163</f>
        <v>3.5704335117384564E-2</v>
      </c>
      <c r="J151" s="179">
        <f>+'Pool Lbs &amp; Component Lbs'!R163/'Pool Lbs &amp; Component Lbs'!$U163</f>
        <v>2.6207181981329951E-2</v>
      </c>
      <c r="K151" s="179">
        <f>+'Pool Lbs &amp; Component Lbs'!S163/'Pool Lbs &amp; Component Lbs'!$U163</f>
        <v>0.35475281577823192</v>
      </c>
      <c r="L151" s="180">
        <f>+'Pool Lbs &amp; Component Lbs'!T163/'Pool Lbs &amp; Component Lbs'!$U163</f>
        <v>0.44057550754838387</v>
      </c>
    </row>
    <row r="152" spans="1:12">
      <c r="A152" s="162">
        <f>+'Pool Lbs &amp; Component Lbs'!A164</f>
        <v>2012</v>
      </c>
      <c r="B152" s="163" t="str">
        <f>+'Pool Lbs &amp; Component Lbs'!B164</f>
        <v>APRIL</v>
      </c>
      <c r="C152" s="197">
        <f>+'Pool Lbs &amp; Component Lbs'!I164/'Pool Lbs &amp; Component Lbs'!N164</f>
        <v>7.2850026699648962E-2</v>
      </c>
      <c r="D152" s="178">
        <f>+'Pool Lbs &amp; Component Lbs'!J164/'Pool Lbs &amp; Component Lbs'!N164</f>
        <v>6.1871059182048715E-2</v>
      </c>
      <c r="E152" s="178">
        <f>+'Pool Lbs &amp; Component Lbs'!K164/'Pool Lbs &amp; Component Lbs'!N164</f>
        <v>5.5272926793443367E-2</v>
      </c>
      <c r="F152" s="178">
        <f>+'Pool Lbs &amp; Component Lbs'!L164/'Pool Lbs &amp; Component Lbs'!N164</f>
        <v>0.43167446366738466</v>
      </c>
      <c r="G152" s="204">
        <f>+'Pool Lbs &amp; Component Lbs'!M164/'Pool Lbs &amp; Component Lbs'!N164</f>
        <v>0.3783315236574743</v>
      </c>
      <c r="H152" s="210">
        <f>+'Pool Lbs &amp; Component Lbs'!P164/'Pool Lbs &amp; Component Lbs'!$U164</f>
        <v>0.14512358648203791</v>
      </c>
      <c r="I152" s="179">
        <f>+'Pool Lbs &amp; Component Lbs'!Q164/'Pool Lbs &amp; Component Lbs'!$U164</f>
        <v>3.6964585606252716E-2</v>
      </c>
      <c r="J152" s="179">
        <f>+'Pool Lbs &amp; Component Lbs'!R164/'Pool Lbs &amp; Component Lbs'!$U164</f>
        <v>2.4164827430444475E-2</v>
      </c>
      <c r="K152" s="179">
        <f>+'Pool Lbs &amp; Component Lbs'!S164/'Pool Lbs &amp; Component Lbs'!$U164</f>
        <v>0.35002077877115367</v>
      </c>
      <c r="L152" s="180">
        <f>+'Pool Lbs &amp; Component Lbs'!T164/'Pool Lbs &amp; Component Lbs'!$U164</f>
        <v>0.44372622171011122</v>
      </c>
    </row>
    <row r="153" spans="1:12">
      <c r="A153" s="162">
        <f>+'Pool Lbs &amp; Component Lbs'!A165</f>
        <v>2012</v>
      </c>
      <c r="B153" s="163" t="str">
        <f>+'Pool Lbs &amp; Component Lbs'!B165</f>
        <v>MAY</v>
      </c>
      <c r="C153" s="197">
        <f>+'Pool Lbs &amp; Component Lbs'!I165/'Pool Lbs &amp; Component Lbs'!N165</f>
        <v>7.2344936808945215E-2</v>
      </c>
      <c r="D153" s="178">
        <f>+'Pool Lbs &amp; Component Lbs'!J165/'Pool Lbs &amp; Component Lbs'!N165</f>
        <v>6.5177486978706387E-2</v>
      </c>
      <c r="E153" s="178">
        <f>+'Pool Lbs &amp; Component Lbs'!K165/'Pool Lbs &amp; Component Lbs'!N165</f>
        <v>5.6785170430245169E-2</v>
      </c>
      <c r="F153" s="178">
        <f>+'Pool Lbs &amp; Component Lbs'!L165/'Pool Lbs &amp; Component Lbs'!N165</f>
        <v>0.42852781791546496</v>
      </c>
      <c r="G153" s="204">
        <f>+'Pool Lbs &amp; Component Lbs'!M165/'Pool Lbs &amp; Component Lbs'!N165</f>
        <v>0.37716458786663826</v>
      </c>
      <c r="H153" s="210">
        <f>+'Pool Lbs &amp; Component Lbs'!P165/'Pool Lbs &amp; Component Lbs'!$U165</f>
        <v>0.14248941125998418</v>
      </c>
      <c r="I153" s="179">
        <f>+'Pool Lbs &amp; Component Lbs'!Q165/'Pool Lbs &amp; Component Lbs'!$U165</f>
        <v>3.7210512822069476E-2</v>
      </c>
      <c r="J153" s="179">
        <f>+'Pool Lbs &amp; Component Lbs'!R165/'Pool Lbs &amp; Component Lbs'!$U165</f>
        <v>2.5076511809311305E-2</v>
      </c>
      <c r="K153" s="179">
        <f>+'Pool Lbs &amp; Component Lbs'!S165/'Pool Lbs &amp; Component Lbs'!$U165</f>
        <v>0.35357624585521791</v>
      </c>
      <c r="L153" s="180">
        <f>+'Pool Lbs &amp; Component Lbs'!T165/'Pool Lbs &amp; Component Lbs'!$U165</f>
        <v>0.44164731825341713</v>
      </c>
    </row>
    <row r="154" spans="1:12">
      <c r="A154" s="162">
        <f>+'Pool Lbs &amp; Component Lbs'!A166</f>
        <v>2012</v>
      </c>
      <c r="B154" s="163" t="str">
        <f>+'Pool Lbs &amp; Component Lbs'!B166</f>
        <v>JUNE</v>
      </c>
      <c r="C154" s="197">
        <f>+'Pool Lbs &amp; Component Lbs'!I166/'Pool Lbs &amp; Component Lbs'!N166</f>
        <v>7.2348672778444895E-2</v>
      </c>
      <c r="D154" s="178">
        <f>+'Pool Lbs &amp; Component Lbs'!J166/'Pool Lbs &amp; Component Lbs'!N166</f>
        <v>6.3986338457897876E-2</v>
      </c>
      <c r="E154" s="178">
        <f>+'Pool Lbs &amp; Component Lbs'!K166/'Pool Lbs &amp; Component Lbs'!N166</f>
        <v>6.2846759231055385E-2</v>
      </c>
      <c r="F154" s="178">
        <f>+'Pool Lbs &amp; Component Lbs'!L166/'Pool Lbs &amp; Component Lbs'!N166</f>
        <v>0.40768440580241716</v>
      </c>
      <c r="G154" s="204">
        <f>+'Pool Lbs &amp; Component Lbs'!M166/'Pool Lbs &amp; Component Lbs'!N166</f>
        <v>0.39313382373018468</v>
      </c>
      <c r="H154" s="210">
        <f>+'Pool Lbs &amp; Component Lbs'!P166/'Pool Lbs &amp; Component Lbs'!$U166</f>
        <v>0.13568357492146377</v>
      </c>
      <c r="I154" s="179">
        <f>+'Pool Lbs &amp; Component Lbs'!Q166/'Pool Lbs &amp; Component Lbs'!$U166</f>
        <v>3.6789555046624497E-2</v>
      </c>
      <c r="J154" s="179">
        <f>+'Pool Lbs &amp; Component Lbs'!R166/'Pool Lbs &amp; Component Lbs'!$U166</f>
        <v>2.5115750755736667E-2</v>
      </c>
      <c r="K154" s="179">
        <f>+'Pool Lbs &amp; Component Lbs'!S166/'Pool Lbs &amp; Component Lbs'!$U166</f>
        <v>0.35420840600325953</v>
      </c>
      <c r="L154" s="180">
        <f>+'Pool Lbs &amp; Component Lbs'!T166/'Pool Lbs &amp; Component Lbs'!$U166</f>
        <v>0.44820271327291555</v>
      </c>
    </row>
    <row r="155" spans="1:12">
      <c r="A155" s="162">
        <f>+'Pool Lbs &amp; Component Lbs'!A167</f>
        <v>2012</v>
      </c>
      <c r="B155" s="163" t="str">
        <f>+'Pool Lbs &amp; Component Lbs'!B167</f>
        <v>JULY</v>
      </c>
      <c r="C155" s="197">
        <f>+'Pool Lbs &amp; Component Lbs'!I167/'Pool Lbs &amp; Component Lbs'!N167</f>
        <v>7.9759837187350802E-2</v>
      </c>
      <c r="D155" s="178">
        <f>+'Pool Lbs &amp; Component Lbs'!J167/'Pool Lbs &amp; Component Lbs'!N167</f>
        <v>7.8187436134375912E-2</v>
      </c>
      <c r="E155" s="178">
        <f>+'Pool Lbs &amp; Component Lbs'!K167/'Pool Lbs &amp; Component Lbs'!N167</f>
        <v>7.7290207755012427E-2</v>
      </c>
      <c r="F155" s="178">
        <f>+'Pool Lbs &amp; Component Lbs'!L167/'Pool Lbs &amp; Component Lbs'!N167</f>
        <v>0.36733038783034511</v>
      </c>
      <c r="G155" s="204">
        <f>+'Pool Lbs &amp; Component Lbs'!M167/'Pool Lbs &amp; Component Lbs'!N167</f>
        <v>0.39743213109291581</v>
      </c>
      <c r="H155" s="210">
        <f>+'Pool Lbs &amp; Component Lbs'!P167/'Pool Lbs &amp; Component Lbs'!$U167</f>
        <v>0.1457463120046617</v>
      </c>
      <c r="I155" s="179">
        <f>+'Pool Lbs &amp; Component Lbs'!Q167/'Pool Lbs &amp; Component Lbs'!$U167</f>
        <v>4.0096353263272842E-2</v>
      </c>
      <c r="J155" s="179">
        <f>+'Pool Lbs &amp; Component Lbs'!R167/'Pool Lbs &amp; Component Lbs'!$U167</f>
        <v>2.6961388895734115E-2</v>
      </c>
      <c r="K155" s="179">
        <f>+'Pool Lbs &amp; Component Lbs'!S167/'Pool Lbs &amp; Component Lbs'!$U167</f>
        <v>0.33072976699724593</v>
      </c>
      <c r="L155" s="180">
        <f>+'Pool Lbs &amp; Component Lbs'!T167/'Pool Lbs &amp; Component Lbs'!$U167</f>
        <v>0.45646617883908541</v>
      </c>
    </row>
    <row r="156" spans="1:12">
      <c r="A156" s="162">
        <f>+'Pool Lbs &amp; Component Lbs'!A168</f>
        <v>2012</v>
      </c>
      <c r="B156" s="163" t="str">
        <f>+'Pool Lbs &amp; Component Lbs'!B168</f>
        <v>AUGUST</v>
      </c>
      <c r="C156" s="197">
        <f>+'Pool Lbs &amp; Component Lbs'!I168/'Pool Lbs &amp; Component Lbs'!N168</f>
        <v>8.6587774130340578E-2</v>
      </c>
      <c r="D156" s="178">
        <f>+'Pool Lbs &amp; Component Lbs'!J168/'Pool Lbs &amp; Component Lbs'!N168</f>
        <v>9.0892186332056521E-2</v>
      </c>
      <c r="E156" s="178">
        <f>+'Pool Lbs &amp; Component Lbs'!K168/'Pool Lbs &amp; Component Lbs'!N168</f>
        <v>8.2483418323766294E-2</v>
      </c>
      <c r="F156" s="178">
        <f>+'Pool Lbs &amp; Component Lbs'!L168/'Pool Lbs &amp; Component Lbs'!N168</f>
        <v>0.33750521191124244</v>
      </c>
      <c r="G156" s="204">
        <f>+'Pool Lbs &amp; Component Lbs'!M168/'Pool Lbs &amp; Component Lbs'!N168</f>
        <v>0.40253140930259418</v>
      </c>
      <c r="H156" s="210">
        <f>+'Pool Lbs &amp; Component Lbs'!P168/'Pool Lbs &amp; Component Lbs'!$U168</f>
        <v>0.16895779421846757</v>
      </c>
      <c r="I156" s="179">
        <f>+'Pool Lbs &amp; Component Lbs'!Q168/'Pool Lbs &amp; Component Lbs'!$U168</f>
        <v>4.2617078929242797E-2</v>
      </c>
      <c r="J156" s="179">
        <f>+'Pool Lbs &amp; Component Lbs'!R168/'Pool Lbs &amp; Component Lbs'!$U168</f>
        <v>2.8980270484343016E-2</v>
      </c>
      <c r="K156" s="179">
        <f>+'Pool Lbs &amp; Component Lbs'!S168/'Pool Lbs &amp; Component Lbs'!$U168</f>
        <v>0.28258315869330142</v>
      </c>
      <c r="L156" s="180">
        <f>+'Pool Lbs &amp; Component Lbs'!T168/'Pool Lbs &amp; Component Lbs'!$U168</f>
        <v>0.4768616976746452</v>
      </c>
    </row>
    <row r="157" spans="1:12">
      <c r="A157" s="162">
        <f>+'Pool Lbs &amp; Component Lbs'!A169</f>
        <v>2012</v>
      </c>
      <c r="B157" s="163" t="str">
        <f>+'Pool Lbs &amp; Component Lbs'!B169</f>
        <v>SEPTEMBER</v>
      </c>
      <c r="C157" s="197">
        <f>+'Pool Lbs &amp; Component Lbs'!I169/'Pool Lbs &amp; Component Lbs'!N169</f>
        <v>7.91972669524411E-2</v>
      </c>
      <c r="D157" s="178">
        <f>+'Pool Lbs &amp; Component Lbs'!J169/'Pool Lbs &amp; Component Lbs'!N169</f>
        <v>8.8857538550671369E-2</v>
      </c>
      <c r="E157" s="178">
        <f>+'Pool Lbs &amp; Component Lbs'!K169/'Pool Lbs &amp; Component Lbs'!N169</f>
        <v>6.2701170809358928E-2</v>
      </c>
      <c r="F157" s="178">
        <f>+'Pool Lbs &amp; Component Lbs'!L169/'Pool Lbs &amp; Component Lbs'!N169</f>
        <v>0.37333761115035646</v>
      </c>
      <c r="G157" s="204">
        <f>+'Pool Lbs &amp; Component Lbs'!M169/'Pool Lbs &amp; Component Lbs'!N169</f>
        <v>0.39590641253717218</v>
      </c>
      <c r="H157" s="210">
        <f>+'Pool Lbs &amp; Component Lbs'!P169/'Pool Lbs &amp; Component Lbs'!$U169</f>
        <v>0.16470761852233301</v>
      </c>
      <c r="I157" s="179">
        <f>+'Pool Lbs &amp; Component Lbs'!Q169/'Pool Lbs &amp; Component Lbs'!$U169</f>
        <v>4.2697322940435614E-2</v>
      </c>
      <c r="J157" s="179">
        <f>+'Pool Lbs &amp; Component Lbs'!R169/'Pool Lbs &amp; Component Lbs'!$U169</f>
        <v>2.5005612463558542E-2</v>
      </c>
      <c r="K157" s="179">
        <f>+'Pool Lbs &amp; Component Lbs'!S169/'Pool Lbs &amp; Component Lbs'!$U169</f>
        <v>0.30259399399980635</v>
      </c>
      <c r="L157" s="180">
        <f>+'Pool Lbs &amp; Component Lbs'!T169/'Pool Lbs &amp; Component Lbs'!$U169</f>
        <v>0.46499545207386644</v>
      </c>
    </row>
    <row r="158" spans="1:12">
      <c r="A158" s="162">
        <f>+'Pool Lbs &amp; Component Lbs'!A170</f>
        <v>2012</v>
      </c>
      <c r="B158" s="163" t="str">
        <f>+'Pool Lbs &amp; Component Lbs'!B170</f>
        <v>OCTOBER</v>
      </c>
      <c r="C158" s="197">
        <f>+'Pool Lbs &amp; Component Lbs'!I170/'Pool Lbs &amp; Component Lbs'!N170</f>
        <v>8.6357139413979711E-2</v>
      </c>
      <c r="D158" s="178">
        <f>+'Pool Lbs &amp; Component Lbs'!J170/'Pool Lbs &amp; Component Lbs'!N170</f>
        <v>9.8954309512450864E-2</v>
      </c>
      <c r="E158" s="178">
        <f>+'Pool Lbs &amp; Component Lbs'!K170/'Pool Lbs &amp; Component Lbs'!N170</f>
        <v>5.9815689394702574E-2</v>
      </c>
      <c r="F158" s="178">
        <f>+'Pool Lbs &amp; Component Lbs'!L170/'Pool Lbs &amp; Component Lbs'!N170</f>
        <v>0.36067588274832846</v>
      </c>
      <c r="G158" s="204">
        <f>+'Pool Lbs &amp; Component Lbs'!M170/'Pool Lbs &amp; Component Lbs'!N170</f>
        <v>0.3941969789305384</v>
      </c>
      <c r="H158" s="210">
        <f>+'Pool Lbs &amp; Component Lbs'!P170/'Pool Lbs &amp; Component Lbs'!$U170</f>
        <v>0.17449030599798129</v>
      </c>
      <c r="I158" s="179">
        <f>+'Pool Lbs &amp; Component Lbs'!Q170/'Pool Lbs &amp; Component Lbs'!$U170</f>
        <v>4.5374834765825323E-2</v>
      </c>
      <c r="J158" s="179">
        <f>+'Pool Lbs &amp; Component Lbs'!R170/'Pool Lbs &amp; Component Lbs'!$U170</f>
        <v>2.5602850242342049E-2</v>
      </c>
      <c r="K158" s="179">
        <f>+'Pool Lbs &amp; Component Lbs'!S170/'Pool Lbs &amp; Component Lbs'!$U170</f>
        <v>0.29163988949662001</v>
      </c>
      <c r="L158" s="180">
        <f>+'Pool Lbs &amp; Component Lbs'!T170/'Pool Lbs &amp; Component Lbs'!$U170</f>
        <v>0.4628921194972313</v>
      </c>
    </row>
    <row r="159" spans="1:12">
      <c r="A159" s="162">
        <f>+'Pool Lbs &amp; Component Lbs'!A171</f>
        <v>2012</v>
      </c>
      <c r="B159" s="163" t="str">
        <f>+'Pool Lbs &amp; Component Lbs'!B171</f>
        <v>NOVEMBER</v>
      </c>
      <c r="C159" s="197">
        <f>+'Pool Lbs &amp; Component Lbs'!I171/'Pool Lbs &amp; Component Lbs'!N171</f>
        <v>8.3550517247704834E-2</v>
      </c>
      <c r="D159" s="178">
        <f>+'Pool Lbs &amp; Component Lbs'!J171/'Pool Lbs &amp; Component Lbs'!N171</f>
        <v>0.10346658710260287</v>
      </c>
      <c r="E159" s="178">
        <f>+'Pool Lbs &amp; Component Lbs'!K171/'Pool Lbs &amp; Component Lbs'!N171</f>
        <v>4.8040812912512137E-2</v>
      </c>
      <c r="F159" s="178">
        <f>+'Pool Lbs &amp; Component Lbs'!L171/'Pool Lbs &amp; Component Lbs'!N171</f>
        <v>0.36692591232000271</v>
      </c>
      <c r="G159" s="204">
        <f>+'Pool Lbs &amp; Component Lbs'!M171/'Pool Lbs &amp; Component Lbs'!N171</f>
        <v>0.39801617041717746</v>
      </c>
      <c r="H159" s="210">
        <f>+'Pool Lbs &amp; Component Lbs'!P171/'Pool Lbs &amp; Component Lbs'!$U171</f>
        <v>0.16756465820299912</v>
      </c>
      <c r="I159" s="179">
        <f>+'Pool Lbs &amp; Component Lbs'!Q171/'Pool Lbs &amp; Component Lbs'!$U171</f>
        <v>4.258863204410443E-2</v>
      </c>
      <c r="J159" s="179">
        <f>+'Pool Lbs &amp; Component Lbs'!R171/'Pool Lbs &amp; Component Lbs'!$U171</f>
        <v>2.1365637989163924E-2</v>
      </c>
      <c r="K159" s="179">
        <f>+'Pool Lbs &amp; Component Lbs'!S171/'Pool Lbs &amp; Component Lbs'!$U171</f>
        <v>0.30262298078275729</v>
      </c>
      <c r="L159" s="180">
        <f>+'Pool Lbs &amp; Component Lbs'!T171/'Pool Lbs &amp; Component Lbs'!$U171</f>
        <v>0.46585809098097525</v>
      </c>
    </row>
    <row r="160" spans="1:12" ht="15.75" thickBot="1">
      <c r="A160" s="166">
        <f>+'Pool Lbs &amp; Component Lbs'!A172</f>
        <v>2012</v>
      </c>
      <c r="B160" s="167" t="str">
        <f>+'Pool Lbs &amp; Component Lbs'!B172</f>
        <v>DECEMBER</v>
      </c>
      <c r="C160" s="198">
        <f>+'Pool Lbs &amp; Component Lbs'!I172/'Pool Lbs &amp; Component Lbs'!N172</f>
        <v>7.9594616902687959E-2</v>
      </c>
      <c r="D160" s="181">
        <f>+'Pool Lbs &amp; Component Lbs'!J172/'Pool Lbs &amp; Component Lbs'!N172</f>
        <v>6.5259027320368368E-2</v>
      </c>
      <c r="E160" s="181">
        <f>+'Pool Lbs &amp; Component Lbs'!K172/'Pool Lbs &amp; Component Lbs'!N172</f>
        <v>3.2414076938229244E-2</v>
      </c>
      <c r="F160" s="181">
        <f>+'Pool Lbs &amp; Component Lbs'!L172/'Pool Lbs &amp; Component Lbs'!N172</f>
        <v>0.42009209273608411</v>
      </c>
      <c r="G160" s="205">
        <f>+'Pool Lbs &amp; Component Lbs'!M172/'Pool Lbs &amp; Component Lbs'!N172</f>
        <v>0.40264018610263036</v>
      </c>
      <c r="H160" s="211">
        <f>+'Pool Lbs &amp; Component Lbs'!P172/'Pool Lbs &amp; Component Lbs'!$U172</f>
        <v>0.15660136761391613</v>
      </c>
      <c r="I160" s="182">
        <f>+'Pool Lbs &amp; Component Lbs'!Q172/'Pool Lbs &amp; Component Lbs'!$U172</f>
        <v>3.6664845649696819E-2</v>
      </c>
      <c r="J160" s="182">
        <f>+'Pool Lbs &amp; Component Lbs'!R172/'Pool Lbs &amp; Component Lbs'!$U172</f>
        <v>1.3548643984647992E-2</v>
      </c>
      <c r="K160" s="182">
        <f>+'Pool Lbs &amp; Component Lbs'!S172/'Pool Lbs &amp; Component Lbs'!$U172</f>
        <v>0.33200715374473233</v>
      </c>
      <c r="L160" s="183">
        <f>+'Pool Lbs &amp; Component Lbs'!T172/'Pool Lbs &amp; Component Lbs'!$U172</f>
        <v>0.46117798900700674</v>
      </c>
    </row>
    <row r="161" spans="1:12" ht="15.75" thickTop="1">
      <c r="A161" s="170">
        <f>+'Pool Lbs &amp; Component Lbs'!A174</f>
        <v>2013</v>
      </c>
      <c r="B161" s="171" t="str">
        <f>+'Pool Lbs &amp; Component Lbs'!B174</f>
        <v>JANUARY</v>
      </c>
      <c r="C161" s="199">
        <f>+'Pool Lbs &amp; Component Lbs'!I174/'Pool Lbs &amp; Component Lbs'!N174</f>
        <v>7.8563947557760944E-2</v>
      </c>
      <c r="D161" s="184">
        <f>+'Pool Lbs &amp; Component Lbs'!J174/'Pool Lbs &amp; Component Lbs'!N174</f>
        <v>6.5103602530851318E-2</v>
      </c>
      <c r="E161" s="184">
        <f>+'Pool Lbs &amp; Component Lbs'!K174/'Pool Lbs &amp; Component Lbs'!N174</f>
        <v>2.8791187846653642E-2</v>
      </c>
      <c r="F161" s="184">
        <f>+'Pool Lbs &amp; Component Lbs'!L174/'Pool Lbs &amp; Component Lbs'!N174</f>
        <v>0.43725664128576786</v>
      </c>
      <c r="G161" s="206">
        <f>+'Pool Lbs &amp; Component Lbs'!M174/'Pool Lbs &amp; Component Lbs'!N174</f>
        <v>0.39028462077896625</v>
      </c>
      <c r="H161" s="212">
        <f>+'Pool Lbs &amp; Component Lbs'!P174/'Pool Lbs &amp; Component Lbs'!$U174</f>
        <v>0.16213215694701102</v>
      </c>
      <c r="I161" s="185">
        <f>+'Pool Lbs &amp; Component Lbs'!Q174/'Pool Lbs &amp; Component Lbs'!$U174</f>
        <v>3.8816158313579457E-2</v>
      </c>
      <c r="J161" s="185">
        <f>+'Pool Lbs &amp; Component Lbs'!R174/'Pool Lbs &amp; Component Lbs'!$U174</f>
        <v>1.5964810516228955E-2</v>
      </c>
      <c r="K161" s="185">
        <f>+'Pool Lbs &amp; Component Lbs'!S174/'Pool Lbs &amp; Component Lbs'!$U174</f>
        <v>0.32773606925889925</v>
      </c>
      <c r="L161" s="186">
        <f>+'Pool Lbs &amp; Component Lbs'!T174/'Pool Lbs &amp; Component Lbs'!$U174</f>
        <v>0.45535080496428132</v>
      </c>
    </row>
    <row r="162" spans="1:12">
      <c r="A162" s="162">
        <f>+'Pool Lbs &amp; Component Lbs'!A175</f>
        <v>2013</v>
      </c>
      <c r="B162" s="163" t="str">
        <f>+'Pool Lbs &amp; Component Lbs'!B175</f>
        <v>FEBRUARY</v>
      </c>
      <c r="C162" s="197">
        <f>+'Pool Lbs &amp; Component Lbs'!I175/'Pool Lbs &amp; Component Lbs'!N175</f>
        <v>7.3818876965114466E-2</v>
      </c>
      <c r="D162" s="178">
        <f>+'Pool Lbs &amp; Component Lbs'!J175/'Pool Lbs &amp; Component Lbs'!N175</f>
        <v>7.4056779718284366E-2</v>
      </c>
      <c r="E162" s="178">
        <f>+'Pool Lbs &amp; Component Lbs'!K175/'Pool Lbs &amp; Component Lbs'!N175</f>
        <v>4.3686822199239757E-2</v>
      </c>
      <c r="F162" s="178">
        <f>+'Pool Lbs &amp; Component Lbs'!L175/'Pool Lbs &amp; Component Lbs'!N175</f>
        <v>0.42166091110417658</v>
      </c>
      <c r="G162" s="204">
        <f>+'Pool Lbs &amp; Component Lbs'!M175/'Pool Lbs &amp; Component Lbs'!N175</f>
        <v>0.38677661001318481</v>
      </c>
      <c r="H162" s="210">
        <f>+'Pool Lbs &amp; Component Lbs'!P175/'Pool Lbs &amp; Component Lbs'!$U175</f>
        <v>0.15210544061884326</v>
      </c>
      <c r="I162" s="179">
        <f>+'Pool Lbs &amp; Component Lbs'!Q175/'Pool Lbs &amp; Component Lbs'!$U175</f>
        <v>3.8755079556019471E-2</v>
      </c>
      <c r="J162" s="179">
        <f>+'Pool Lbs &amp; Component Lbs'!R175/'Pool Lbs &amp; Component Lbs'!$U175</f>
        <v>2.2034364084596733E-2</v>
      </c>
      <c r="K162" s="179">
        <f>+'Pool Lbs &amp; Component Lbs'!S175/'Pool Lbs &amp; Component Lbs'!$U175</f>
        <v>0.33746064468958564</v>
      </c>
      <c r="L162" s="180">
        <f>+'Pool Lbs &amp; Component Lbs'!T175/'Pool Lbs &amp; Component Lbs'!$U175</f>
        <v>0.44964447105095484</v>
      </c>
    </row>
    <row r="163" spans="1:12">
      <c r="A163" s="162">
        <f>+'Pool Lbs &amp; Component Lbs'!A176</f>
        <v>2013</v>
      </c>
      <c r="B163" s="163" t="str">
        <f>+'Pool Lbs &amp; Component Lbs'!B176</f>
        <v>MARCH</v>
      </c>
      <c r="C163" s="197">
        <f>+'Pool Lbs &amp; Component Lbs'!I176/'Pool Lbs &amp; Component Lbs'!N176</f>
        <v>7.0798713881796413E-2</v>
      </c>
      <c r="D163" s="178">
        <f>+'Pool Lbs &amp; Component Lbs'!J176/'Pool Lbs &amp; Component Lbs'!N176</f>
        <v>7.4535493362221455E-2</v>
      </c>
      <c r="E163" s="178">
        <f>+'Pool Lbs &amp; Component Lbs'!K176/'Pool Lbs &amp; Component Lbs'!N176</f>
        <v>5.4925092847037282E-2</v>
      </c>
      <c r="F163" s="178">
        <f>+'Pool Lbs &amp; Component Lbs'!L176/'Pool Lbs &amp; Component Lbs'!N176</f>
        <v>0.41898826451756904</v>
      </c>
      <c r="G163" s="204">
        <f>+'Pool Lbs &amp; Component Lbs'!M176/'Pool Lbs &amp; Component Lbs'!N176</f>
        <v>0.38075243539137582</v>
      </c>
      <c r="H163" s="210">
        <f>+'Pool Lbs &amp; Component Lbs'!P176/'Pool Lbs &amp; Component Lbs'!$U176</f>
        <v>0.14307518507977893</v>
      </c>
      <c r="I163" s="179">
        <f>+'Pool Lbs &amp; Component Lbs'!Q176/'Pool Lbs &amp; Component Lbs'!$U176</f>
        <v>3.7397123806991568E-2</v>
      </c>
      <c r="J163" s="179">
        <f>+'Pool Lbs &amp; Component Lbs'!R176/'Pool Lbs &amp; Component Lbs'!$U176</f>
        <v>2.2535498638868941E-2</v>
      </c>
      <c r="K163" s="179">
        <f>+'Pool Lbs &amp; Component Lbs'!S176/'Pool Lbs &amp; Component Lbs'!$U176</f>
        <v>0.35171161813940743</v>
      </c>
      <c r="L163" s="180">
        <f>+'Pool Lbs &amp; Component Lbs'!T176/'Pool Lbs &amp; Component Lbs'!$U176</f>
        <v>0.44528057433495311</v>
      </c>
    </row>
    <row r="164" spans="1:12">
      <c r="A164" s="162">
        <f>+'Pool Lbs &amp; Component Lbs'!A177</f>
        <v>2013</v>
      </c>
      <c r="B164" s="163" t="str">
        <f>+'Pool Lbs &amp; Component Lbs'!B177</f>
        <v>APRIL</v>
      </c>
      <c r="C164" s="197">
        <f>+'Pool Lbs &amp; Component Lbs'!I177/'Pool Lbs &amp; Component Lbs'!N177</f>
        <v>7.3169849110399393E-2</v>
      </c>
      <c r="D164" s="178">
        <f>+'Pool Lbs &amp; Component Lbs'!J177/'Pool Lbs &amp; Component Lbs'!N177</f>
        <v>7.9047278572228624E-2</v>
      </c>
      <c r="E164" s="178">
        <f>+'Pool Lbs &amp; Component Lbs'!K177/'Pool Lbs &amp; Component Lbs'!N177</f>
        <v>6.3455736438198088E-2</v>
      </c>
      <c r="F164" s="178">
        <f>+'Pool Lbs &amp; Component Lbs'!L177/'Pool Lbs &amp; Component Lbs'!N177</f>
        <v>0.40100990279648552</v>
      </c>
      <c r="G164" s="204">
        <f>+'Pool Lbs &amp; Component Lbs'!M177/'Pool Lbs &amp; Component Lbs'!N177</f>
        <v>0.38331723308268839</v>
      </c>
      <c r="H164" s="210">
        <f>+'Pool Lbs &amp; Component Lbs'!P177/'Pool Lbs &amp; Component Lbs'!$U177</f>
        <v>0.14654992440349029</v>
      </c>
      <c r="I164" s="179">
        <f>+'Pool Lbs &amp; Component Lbs'!Q177/'Pool Lbs &amp; Component Lbs'!$U177</f>
        <v>3.6264380377408638E-2</v>
      </c>
      <c r="J164" s="179">
        <f>+'Pool Lbs &amp; Component Lbs'!R177/'Pool Lbs &amp; Component Lbs'!$U177</f>
        <v>2.5492649069559333E-2</v>
      </c>
      <c r="K164" s="179">
        <f>+'Pool Lbs &amp; Component Lbs'!S177/'Pool Lbs &amp; Component Lbs'!$U177</f>
        <v>0.34280471534831219</v>
      </c>
      <c r="L164" s="180">
        <f>+'Pool Lbs &amp; Component Lbs'!T177/'Pool Lbs &amp; Component Lbs'!$U177</f>
        <v>0.44888833080122958</v>
      </c>
    </row>
    <row r="165" spans="1:12">
      <c r="A165" s="162">
        <f>+'Pool Lbs &amp; Component Lbs'!A178</f>
        <v>2013</v>
      </c>
      <c r="B165" s="163" t="str">
        <f>+'Pool Lbs &amp; Component Lbs'!B178</f>
        <v>MAY</v>
      </c>
      <c r="C165" s="197">
        <f>+'Pool Lbs &amp; Component Lbs'!I178/'Pool Lbs &amp; Component Lbs'!N178</f>
        <v>7.3514409567227296E-2</v>
      </c>
      <c r="D165" s="178">
        <f>+'Pool Lbs &amp; Component Lbs'!J178/'Pool Lbs &amp; Component Lbs'!N178</f>
        <v>8.3759022575339487E-2</v>
      </c>
      <c r="E165" s="178">
        <f>+'Pool Lbs &amp; Component Lbs'!K178/'Pool Lbs &amp; Component Lbs'!N178</f>
        <v>6.2544255687382311E-2</v>
      </c>
      <c r="F165" s="178">
        <f>+'Pool Lbs &amp; Component Lbs'!L178/'Pool Lbs &amp; Component Lbs'!N178</f>
        <v>0.39313769622659034</v>
      </c>
      <c r="G165" s="204">
        <f>+'Pool Lbs &amp; Component Lbs'!M178/'Pool Lbs &amp; Component Lbs'!N178</f>
        <v>0.38704461594346057</v>
      </c>
      <c r="H165" s="210">
        <f>+'Pool Lbs &amp; Component Lbs'!P178/'Pool Lbs &amp; Component Lbs'!$U178</f>
        <v>0.14554131180608032</v>
      </c>
      <c r="I165" s="179">
        <f>+'Pool Lbs &amp; Component Lbs'!Q178/'Pool Lbs &amp; Component Lbs'!$U178</f>
        <v>3.7613719907028199E-2</v>
      </c>
      <c r="J165" s="179">
        <f>+'Pool Lbs &amp; Component Lbs'!R178/'Pool Lbs &amp; Component Lbs'!$U178</f>
        <v>2.681508367968791E-2</v>
      </c>
      <c r="K165" s="179">
        <f>+'Pool Lbs &amp; Component Lbs'!S178/'Pool Lbs &amp; Component Lbs'!$U178</f>
        <v>0.33766213387378663</v>
      </c>
      <c r="L165" s="180">
        <f>+'Pool Lbs &amp; Component Lbs'!T178/'Pool Lbs &amp; Component Lbs'!$U178</f>
        <v>0.45236775073341695</v>
      </c>
    </row>
    <row r="166" spans="1:12">
      <c r="A166" s="162">
        <f>+'Pool Lbs &amp; Component Lbs'!A179</f>
        <v>2013</v>
      </c>
      <c r="B166" s="163" t="str">
        <f>+'Pool Lbs &amp; Component Lbs'!B179</f>
        <v>JUNE</v>
      </c>
      <c r="C166" s="197">
        <f>+'Pool Lbs &amp; Component Lbs'!I179/'Pool Lbs &amp; Component Lbs'!N179</f>
        <v>7.2547958552973441E-2</v>
      </c>
      <c r="D166" s="178">
        <f>+'Pool Lbs &amp; Component Lbs'!J179/'Pool Lbs &amp; Component Lbs'!N179</f>
        <v>6.3802094438390661E-2</v>
      </c>
      <c r="E166" s="178">
        <f>+'Pool Lbs &amp; Component Lbs'!K179/'Pool Lbs &amp; Component Lbs'!N179</f>
        <v>6.4080824712021311E-2</v>
      </c>
      <c r="F166" s="178">
        <f>+'Pool Lbs &amp; Component Lbs'!L179/'Pool Lbs &amp; Component Lbs'!N179</f>
        <v>0.39974724712367243</v>
      </c>
      <c r="G166" s="204">
        <f>+'Pool Lbs &amp; Component Lbs'!M179/'Pool Lbs &amp; Component Lbs'!N179</f>
        <v>0.39982187517294221</v>
      </c>
      <c r="H166" s="210">
        <f>+'Pool Lbs &amp; Component Lbs'!P179/'Pool Lbs &amp; Component Lbs'!$U179</f>
        <v>0.13403030465913632</v>
      </c>
      <c r="I166" s="179">
        <f>+'Pool Lbs &amp; Component Lbs'!Q179/'Pool Lbs &amp; Component Lbs'!$U179</f>
        <v>3.8664323064751017E-2</v>
      </c>
      <c r="J166" s="179">
        <f>+'Pool Lbs &amp; Component Lbs'!R179/'Pool Lbs &amp; Component Lbs'!$U179</f>
        <v>2.6569338208279527E-2</v>
      </c>
      <c r="K166" s="179">
        <f>+'Pool Lbs &amp; Component Lbs'!S179/'Pool Lbs &amp; Component Lbs'!$U179</f>
        <v>0.340175498997904</v>
      </c>
      <c r="L166" s="180">
        <f>+'Pool Lbs &amp; Component Lbs'!T179/'Pool Lbs &amp; Component Lbs'!$U179</f>
        <v>0.46056053506992917</v>
      </c>
    </row>
    <row r="167" spans="1:12">
      <c r="A167" s="162">
        <f>+'Pool Lbs &amp; Component Lbs'!A180</f>
        <v>2013</v>
      </c>
      <c r="B167" s="163" t="str">
        <f>+'Pool Lbs &amp; Component Lbs'!B180</f>
        <v>JULY</v>
      </c>
      <c r="C167" s="197">
        <f>+'Pool Lbs &amp; Component Lbs'!I180/'Pool Lbs &amp; Component Lbs'!N180</f>
        <v>8.4016591482725264E-2</v>
      </c>
      <c r="D167" s="178">
        <f>+'Pool Lbs &amp; Component Lbs'!J180/'Pool Lbs &amp; Component Lbs'!N180</f>
        <v>6.8125133693058462E-2</v>
      </c>
      <c r="E167" s="178">
        <f>+'Pool Lbs &amp; Component Lbs'!K180/'Pool Lbs &amp; Component Lbs'!N180</f>
        <v>6.7173111784987527E-2</v>
      </c>
      <c r="F167" s="178">
        <f>+'Pool Lbs &amp; Component Lbs'!L180/'Pool Lbs &amp; Component Lbs'!N180</f>
        <v>0.37261857437623891</v>
      </c>
      <c r="G167" s="204">
        <f>+'Pool Lbs &amp; Component Lbs'!M180/'Pool Lbs &amp; Component Lbs'!N180</f>
        <v>0.40806658866298984</v>
      </c>
      <c r="H167" s="210">
        <f>+'Pool Lbs &amp; Component Lbs'!P180/'Pool Lbs &amp; Component Lbs'!$U180</f>
        <v>0.15190353676637766</v>
      </c>
      <c r="I167" s="179">
        <f>+'Pool Lbs &amp; Component Lbs'!Q180/'Pool Lbs &amp; Component Lbs'!$U180</f>
        <v>4.0191380639086387E-2</v>
      </c>
      <c r="J167" s="179">
        <f>+'Pool Lbs &amp; Component Lbs'!R180/'Pool Lbs &amp; Component Lbs'!$U180</f>
        <v>2.8082196126320541E-2</v>
      </c>
      <c r="K167" s="179">
        <f>+'Pool Lbs &amp; Component Lbs'!S180/'Pool Lbs &amp; Component Lbs'!$U180</f>
        <v>0.30734451310317956</v>
      </c>
      <c r="L167" s="180">
        <f>+'Pool Lbs &amp; Component Lbs'!T180/'Pool Lbs &amp; Component Lbs'!$U180</f>
        <v>0.4724783733650359</v>
      </c>
    </row>
    <row r="168" spans="1:12">
      <c r="A168" s="162">
        <f>+'Pool Lbs &amp; Component Lbs'!A181</f>
        <v>2013</v>
      </c>
      <c r="B168" s="163" t="str">
        <f>+'Pool Lbs &amp; Component Lbs'!B181</f>
        <v>AUGUST</v>
      </c>
      <c r="C168" s="197">
        <f>+'Pool Lbs &amp; Component Lbs'!I181/'Pool Lbs &amp; Component Lbs'!N181</f>
        <v>8.2080354077892187E-2</v>
      </c>
      <c r="D168" s="178">
        <f>+'Pool Lbs &amp; Component Lbs'!J181/'Pool Lbs &amp; Component Lbs'!N181</f>
        <v>7.0862299765746803E-2</v>
      </c>
      <c r="E168" s="178">
        <f>+'Pool Lbs &amp; Component Lbs'!K181/'Pool Lbs &amp; Component Lbs'!N181</f>
        <v>6.0881633416682041E-2</v>
      </c>
      <c r="F168" s="178">
        <f>+'Pool Lbs &amp; Component Lbs'!L181/'Pool Lbs &amp; Component Lbs'!N181</f>
        <v>0.38204664022902513</v>
      </c>
      <c r="G168" s="204">
        <f>+'Pool Lbs &amp; Component Lbs'!M181/'Pool Lbs &amp; Component Lbs'!N181</f>
        <v>0.40412907251065383</v>
      </c>
      <c r="H168" s="210">
        <f>+'Pool Lbs &amp; Component Lbs'!P181/'Pool Lbs &amp; Component Lbs'!$U181</f>
        <v>0.15653022921432175</v>
      </c>
      <c r="I168" s="179">
        <f>+'Pool Lbs &amp; Component Lbs'!Q181/'Pool Lbs &amp; Component Lbs'!$U181</f>
        <v>4.7484984039210969E-2</v>
      </c>
      <c r="J168" s="179">
        <f>+'Pool Lbs &amp; Component Lbs'!R181/'Pool Lbs &amp; Component Lbs'!$U181</f>
        <v>2.5168335193482917E-2</v>
      </c>
      <c r="K168" s="179">
        <f>+'Pool Lbs &amp; Component Lbs'!S181/'Pool Lbs &amp; Component Lbs'!$U181</f>
        <v>0.30645561813325728</v>
      </c>
      <c r="L168" s="180">
        <f>+'Pool Lbs &amp; Component Lbs'!T181/'Pool Lbs &amp; Component Lbs'!$U181</f>
        <v>0.46436083341972706</v>
      </c>
    </row>
    <row r="169" spans="1:12">
      <c r="A169" s="162">
        <f>+'Pool Lbs &amp; Component Lbs'!A182</f>
        <v>2013</v>
      </c>
      <c r="B169" s="163" t="str">
        <f>+'Pool Lbs &amp; Component Lbs'!B182</f>
        <v>SEPTEMBER</v>
      </c>
      <c r="C169" s="197">
        <f>+'Pool Lbs &amp; Component Lbs'!I182/'Pool Lbs &amp; Component Lbs'!N182</f>
        <v>8.3840063469657986E-2</v>
      </c>
      <c r="D169" s="178">
        <f>+'Pool Lbs &amp; Component Lbs'!J182/'Pool Lbs &amp; Component Lbs'!N182</f>
        <v>7.1808704781131591E-2</v>
      </c>
      <c r="E169" s="178">
        <f>+'Pool Lbs &amp; Component Lbs'!K182/'Pool Lbs &amp; Component Lbs'!N182</f>
        <v>5.7123800344274771E-2</v>
      </c>
      <c r="F169" s="178">
        <f>+'Pool Lbs &amp; Component Lbs'!L182/'Pool Lbs &amp; Component Lbs'!N182</f>
        <v>0.37414808599488536</v>
      </c>
      <c r="G169" s="204">
        <f>+'Pool Lbs &amp; Component Lbs'!M182/'Pool Lbs &amp; Component Lbs'!N182</f>
        <v>0.41307934541005026</v>
      </c>
      <c r="H169" s="210">
        <f>+'Pool Lbs &amp; Component Lbs'!P182/'Pool Lbs &amp; Component Lbs'!$U182</f>
        <v>0.16711884145106895</v>
      </c>
      <c r="I169" s="179">
        <f>+'Pool Lbs &amp; Component Lbs'!Q182/'Pool Lbs &amp; Component Lbs'!$U182</f>
        <v>4.2455820089546084E-2</v>
      </c>
      <c r="J169" s="179">
        <f>+'Pool Lbs &amp; Component Lbs'!R182/'Pool Lbs &amp; Component Lbs'!$U182</f>
        <v>2.4305145214963408E-2</v>
      </c>
      <c r="K169" s="179">
        <f>+'Pool Lbs &amp; Component Lbs'!S182/'Pool Lbs &amp; Component Lbs'!$U182</f>
        <v>0.29233670110229171</v>
      </c>
      <c r="L169" s="180">
        <f>+'Pool Lbs &amp; Component Lbs'!T182/'Pool Lbs &amp; Component Lbs'!$U182</f>
        <v>0.47378349214212989</v>
      </c>
    </row>
    <row r="170" spans="1:12">
      <c r="A170" s="162">
        <f>+'Pool Lbs &amp; Component Lbs'!A183</f>
        <v>2013</v>
      </c>
      <c r="B170" s="163" t="str">
        <f>+'Pool Lbs &amp; Component Lbs'!B183</f>
        <v>OCTOBER</v>
      </c>
      <c r="C170" s="197">
        <f>+'Pool Lbs &amp; Component Lbs'!I183/'Pool Lbs &amp; Component Lbs'!N183</f>
        <v>8.359304185413155E-2</v>
      </c>
      <c r="D170" s="178">
        <f>+'Pool Lbs &amp; Component Lbs'!J183/'Pool Lbs &amp; Component Lbs'!N183</f>
        <v>9.3413910448888138E-2</v>
      </c>
      <c r="E170" s="178">
        <f>+'Pool Lbs &amp; Component Lbs'!K183/'Pool Lbs &amp; Component Lbs'!N183</f>
        <v>5.2474654189883618E-2</v>
      </c>
      <c r="F170" s="178">
        <f>+'Pool Lbs &amp; Component Lbs'!L183/'Pool Lbs &amp; Component Lbs'!N183</f>
        <v>0.36345026893298099</v>
      </c>
      <c r="G170" s="204">
        <f>+'Pool Lbs &amp; Component Lbs'!M183/'Pool Lbs &amp; Component Lbs'!N183</f>
        <v>0.40706812457411568</v>
      </c>
      <c r="H170" s="210">
        <f>+'Pool Lbs &amp; Component Lbs'!P183/'Pool Lbs &amp; Component Lbs'!$U183</f>
        <v>0.16964938715200387</v>
      </c>
      <c r="I170" s="179">
        <f>+'Pool Lbs &amp; Component Lbs'!Q183/'Pool Lbs &amp; Component Lbs'!$U183</f>
        <v>4.1440272544932544E-2</v>
      </c>
      <c r="J170" s="179">
        <f>+'Pool Lbs &amp; Component Lbs'!R183/'Pool Lbs &amp; Component Lbs'!$U183</f>
        <v>2.3024463620527062E-2</v>
      </c>
      <c r="K170" s="179">
        <f>+'Pool Lbs &amp; Component Lbs'!S183/'Pool Lbs &amp; Component Lbs'!$U183</f>
        <v>0.29891787335590314</v>
      </c>
      <c r="L170" s="180">
        <f>+'Pool Lbs &amp; Component Lbs'!T183/'Pool Lbs &amp; Component Lbs'!$U183</f>
        <v>0.46696800332663335</v>
      </c>
    </row>
    <row r="171" spans="1:12">
      <c r="A171" s="162">
        <f>+'Pool Lbs &amp; Component Lbs'!A184</f>
        <v>2013</v>
      </c>
      <c r="B171" s="163" t="str">
        <f>+'Pool Lbs &amp; Component Lbs'!B184</f>
        <v>NOVEMBER</v>
      </c>
      <c r="C171" s="197">
        <f>+'Pool Lbs &amp; Component Lbs'!I184/'Pool Lbs &amp; Component Lbs'!N184</f>
        <v>7.9986319576175302E-2</v>
      </c>
      <c r="D171" s="178">
        <f>+'Pool Lbs &amp; Component Lbs'!J184/'Pool Lbs &amp; Component Lbs'!N184</f>
        <v>9.8060303642938954E-2</v>
      </c>
      <c r="E171" s="178">
        <f>+'Pool Lbs &amp; Component Lbs'!K184/'Pool Lbs &amp; Component Lbs'!N184</f>
        <v>4.1582067443279823E-2</v>
      </c>
      <c r="F171" s="178">
        <f>+'Pool Lbs &amp; Component Lbs'!L184/'Pool Lbs &amp; Component Lbs'!N184</f>
        <v>0.37105894409282536</v>
      </c>
      <c r="G171" s="204">
        <f>+'Pool Lbs &amp; Component Lbs'!M184/'Pool Lbs &amp; Component Lbs'!N184</f>
        <v>0.40931236524478054</v>
      </c>
      <c r="H171" s="210">
        <f>+'Pool Lbs &amp; Component Lbs'!P184/'Pool Lbs &amp; Component Lbs'!$U184</f>
        <v>0.15783825244205976</v>
      </c>
      <c r="I171" s="179">
        <f>+'Pool Lbs &amp; Component Lbs'!Q184/'Pool Lbs &amp; Component Lbs'!$U184</f>
        <v>3.9923177458554573E-2</v>
      </c>
      <c r="J171" s="179">
        <f>+'Pool Lbs &amp; Component Lbs'!R184/'Pool Lbs &amp; Component Lbs'!$U184</f>
        <v>3.0546171885876411E-2</v>
      </c>
      <c r="K171" s="179">
        <f>+'Pool Lbs &amp; Component Lbs'!S184/'Pool Lbs &amp; Component Lbs'!$U184</f>
        <v>0.30624517817515035</v>
      </c>
      <c r="L171" s="180">
        <f>+'Pool Lbs &amp; Component Lbs'!T184/'Pool Lbs &amp; Component Lbs'!$U184</f>
        <v>0.46544722003835887</v>
      </c>
    </row>
    <row r="172" spans="1:12" ht="15.75" thickBot="1">
      <c r="A172" s="172">
        <f>+'Pool Lbs &amp; Component Lbs'!A185</f>
        <v>2013</v>
      </c>
      <c r="B172" s="173" t="str">
        <f>+'Pool Lbs &amp; Component Lbs'!B185</f>
        <v>DECEMBER</v>
      </c>
      <c r="C172" s="200">
        <f>+'Pool Lbs &amp; Component Lbs'!I185/'Pool Lbs &amp; Component Lbs'!N185</f>
        <v>8.0045330377180687E-2</v>
      </c>
      <c r="D172" s="187">
        <f>+'Pool Lbs &amp; Component Lbs'!J185/'Pool Lbs &amp; Component Lbs'!N185</f>
        <v>8.8489041010783753E-2</v>
      </c>
      <c r="E172" s="187">
        <f>+'Pool Lbs &amp; Component Lbs'!K185/'Pool Lbs &amp; Component Lbs'!N185</f>
        <v>2.9865108364092625E-2</v>
      </c>
      <c r="F172" s="187">
        <f>+'Pool Lbs &amp; Component Lbs'!L185/'Pool Lbs &amp; Component Lbs'!N185</f>
        <v>0.38842200063766402</v>
      </c>
      <c r="G172" s="207">
        <f>+'Pool Lbs &amp; Component Lbs'!M185/'Pool Lbs &amp; Component Lbs'!N185</f>
        <v>0.4131785196102789</v>
      </c>
      <c r="H172" s="213">
        <f>+'Pool Lbs &amp; Component Lbs'!P185/'Pool Lbs &amp; Component Lbs'!$U185</f>
        <v>0.15562496090276118</v>
      </c>
      <c r="I172" s="188">
        <f>+'Pool Lbs &amp; Component Lbs'!Q185/'Pool Lbs &amp; Component Lbs'!$U185</f>
        <v>3.7728017405844937E-2</v>
      </c>
      <c r="J172" s="188">
        <f>+'Pool Lbs &amp; Component Lbs'!R185/'Pool Lbs &amp; Component Lbs'!$U185</f>
        <v>1.2701726069625559E-2</v>
      </c>
      <c r="K172" s="188">
        <f>+'Pool Lbs &amp; Component Lbs'!S185/'Pool Lbs &amp; Component Lbs'!$U185</f>
        <v>0.32588488912859759</v>
      </c>
      <c r="L172" s="189">
        <f>+'Pool Lbs &amp; Component Lbs'!T185/'Pool Lbs &amp; Component Lbs'!$U185</f>
        <v>0.46806040649317077</v>
      </c>
    </row>
    <row r="173" spans="1:12" ht="15.75" thickTop="1">
      <c r="A173" s="168">
        <f>+'Pool Lbs &amp; Component Lbs'!A187</f>
        <v>2014</v>
      </c>
      <c r="B173" s="169" t="str">
        <f>+'Pool Lbs &amp; Component Lbs'!B187</f>
        <v>JANUARY</v>
      </c>
      <c r="C173" s="196">
        <f>+'Pool Lbs &amp; Component Lbs'!I187/'Pool Lbs &amp; Component Lbs'!N187</f>
        <v>7.370457231888243E-2</v>
      </c>
      <c r="D173" s="174">
        <f>+'Pool Lbs &amp; Component Lbs'!J187/'Pool Lbs &amp; Component Lbs'!N187</f>
        <v>6.9857758405295775E-2</v>
      </c>
      <c r="E173" s="174">
        <f>+'Pool Lbs &amp; Component Lbs'!K187/'Pool Lbs &amp; Component Lbs'!N187</f>
        <v>5.0058046143397976E-2</v>
      </c>
      <c r="F173" s="174">
        <f>+'Pool Lbs &amp; Component Lbs'!L187/'Pool Lbs &amp; Component Lbs'!N187</f>
        <v>0.39063724467240246</v>
      </c>
      <c r="G173" s="203">
        <f>+'Pool Lbs &amp; Component Lbs'!M187/'Pool Lbs &amp; Component Lbs'!N187</f>
        <v>0.41574237846002138</v>
      </c>
      <c r="H173" s="209">
        <f>+'Pool Lbs &amp; Component Lbs'!P187/'Pool Lbs &amp; Component Lbs'!$U187</f>
        <v>0.14605199534890798</v>
      </c>
      <c r="I173" s="175">
        <f>+'Pool Lbs &amp; Component Lbs'!Q187/'Pool Lbs &amp; Component Lbs'!$U187</f>
        <v>3.586174147879375E-2</v>
      </c>
      <c r="J173" s="175">
        <f>+'Pool Lbs &amp; Component Lbs'!R187/'Pool Lbs &amp; Component Lbs'!$U187</f>
        <v>2.1796425540877372E-2</v>
      </c>
      <c r="K173" s="175">
        <f>+'Pool Lbs &amp; Component Lbs'!S187/'Pool Lbs &amp; Component Lbs'!$U187</f>
        <v>0.33076052862594951</v>
      </c>
      <c r="L173" s="176">
        <f>+'Pool Lbs &amp; Component Lbs'!T187/'Pool Lbs &amp; Component Lbs'!$U187</f>
        <v>0.46552930900547135</v>
      </c>
    </row>
    <row r="174" spans="1:12">
      <c r="A174" s="162">
        <f>+'Pool Lbs &amp; Component Lbs'!A188</f>
        <v>2014</v>
      </c>
      <c r="B174" s="163" t="str">
        <f>+'Pool Lbs &amp; Component Lbs'!B188</f>
        <v>FEBRUARY</v>
      </c>
      <c r="C174" s="197">
        <f>+'Pool Lbs &amp; Component Lbs'!I188/'Pool Lbs &amp; Component Lbs'!N188</f>
        <v>7.2839841105679246E-2</v>
      </c>
      <c r="D174" s="178">
        <f>+'Pool Lbs &amp; Component Lbs'!J188/'Pool Lbs &amp; Component Lbs'!N188</f>
        <v>7.329827709015127E-2</v>
      </c>
      <c r="E174" s="178">
        <f>+'Pool Lbs &amp; Component Lbs'!K188/'Pool Lbs &amp; Component Lbs'!N188</f>
        <v>5.291002649089796E-2</v>
      </c>
      <c r="F174" s="178">
        <f>+'Pool Lbs &amp; Component Lbs'!L188/'Pool Lbs &amp; Component Lbs'!N188</f>
        <v>0.41008773485228606</v>
      </c>
      <c r="G174" s="204">
        <f>+'Pool Lbs &amp; Component Lbs'!M188/'Pool Lbs &amp; Component Lbs'!N188</f>
        <v>0.39086412046098545</v>
      </c>
      <c r="H174" s="210">
        <f>+'Pool Lbs &amp; Component Lbs'!P188/'Pool Lbs &amp; Component Lbs'!$U188</f>
        <v>0.14309396925483342</v>
      </c>
      <c r="I174" s="179">
        <f>+'Pool Lbs &amp; Component Lbs'!Q188/'Pool Lbs &amp; Component Lbs'!$U188</f>
        <v>3.7847470593549697E-2</v>
      </c>
      <c r="J174" s="179">
        <f>+'Pool Lbs &amp; Component Lbs'!R188/'Pool Lbs &amp; Component Lbs'!$U188</f>
        <v>2.3752346495288588E-2</v>
      </c>
      <c r="K174" s="179">
        <f>+'Pool Lbs &amp; Component Lbs'!S188/'Pool Lbs &amp; Component Lbs'!$U188</f>
        <v>0.33360868321436565</v>
      </c>
      <c r="L174" s="180">
        <f>+'Pool Lbs &amp; Component Lbs'!T188/'Pool Lbs &amp; Component Lbs'!$U188</f>
        <v>0.4616975304419626</v>
      </c>
    </row>
    <row r="175" spans="1:12">
      <c r="A175" s="162">
        <f>+'Pool Lbs &amp; Component Lbs'!A189</f>
        <v>2014</v>
      </c>
      <c r="B175" s="163" t="str">
        <f>+'Pool Lbs &amp; Component Lbs'!B189</f>
        <v>MARCH</v>
      </c>
      <c r="C175" s="197">
        <f>+'Pool Lbs &amp; Component Lbs'!I189/'Pool Lbs &amp; Component Lbs'!N189</f>
        <v>7.1940276968342681E-2</v>
      </c>
      <c r="D175" s="178">
        <f>+'Pool Lbs &amp; Component Lbs'!J189/'Pool Lbs &amp; Component Lbs'!N189</f>
        <v>7.8664951069587624E-2</v>
      </c>
      <c r="E175" s="178">
        <f>+'Pool Lbs &amp; Component Lbs'!K189/'Pool Lbs &amp; Component Lbs'!N189</f>
        <v>6.1566520292266301E-2</v>
      </c>
      <c r="F175" s="178">
        <f>+'Pool Lbs &amp; Component Lbs'!L189/'Pool Lbs &amp; Component Lbs'!N189</f>
        <v>0.38417844680486579</v>
      </c>
      <c r="G175" s="204">
        <f>+'Pool Lbs &amp; Component Lbs'!M189/'Pool Lbs &amp; Component Lbs'!N189</f>
        <v>0.40364980486493757</v>
      </c>
      <c r="H175" s="210">
        <f>+'Pool Lbs &amp; Component Lbs'!P189/'Pool Lbs &amp; Component Lbs'!$U189</f>
        <v>0.13683244393962848</v>
      </c>
      <c r="I175" s="179">
        <f>+'Pool Lbs &amp; Component Lbs'!Q189/'Pool Lbs &amp; Component Lbs'!$U189</f>
        <v>3.9883495620266891E-2</v>
      </c>
      <c r="J175" s="179">
        <f>+'Pool Lbs &amp; Component Lbs'!R189/'Pool Lbs &amp; Component Lbs'!$U189</f>
        <v>2.3914929792538946E-2</v>
      </c>
      <c r="K175" s="179">
        <f>+'Pool Lbs &amp; Component Lbs'!S189/'Pool Lbs &amp; Component Lbs'!$U189</f>
        <v>0.34036799761769643</v>
      </c>
      <c r="L175" s="180">
        <f>+'Pool Lbs &amp; Component Lbs'!T189/'Pool Lbs &amp; Component Lbs'!$U189</f>
        <v>0.45900113302986928</v>
      </c>
    </row>
    <row r="176" spans="1:12">
      <c r="A176" s="162">
        <f>+'Pool Lbs &amp; Component Lbs'!A190</f>
        <v>2014</v>
      </c>
      <c r="B176" s="163" t="str">
        <f>+'Pool Lbs &amp; Component Lbs'!B190</f>
        <v>APRIL</v>
      </c>
      <c r="C176" s="197">
        <f>+'Pool Lbs &amp; Component Lbs'!I190/'Pool Lbs &amp; Component Lbs'!N190</f>
        <v>7.5688027638433894E-2</v>
      </c>
      <c r="D176" s="178">
        <f>+'Pool Lbs &amp; Component Lbs'!J190/'Pool Lbs &amp; Component Lbs'!N190</f>
        <v>7.7382310292464063E-2</v>
      </c>
      <c r="E176" s="178">
        <f>+'Pool Lbs &amp; Component Lbs'!K190/'Pool Lbs &amp; Component Lbs'!N190</f>
        <v>5.9996953284433524E-2</v>
      </c>
      <c r="F176" s="178">
        <f>+'Pool Lbs &amp; Component Lbs'!L190/'Pool Lbs &amp; Component Lbs'!N190</f>
        <v>0.37892274374699081</v>
      </c>
      <c r="G176" s="204">
        <f>+'Pool Lbs &amp; Component Lbs'!M190/'Pool Lbs &amp; Component Lbs'!N190</f>
        <v>0.40800996503767767</v>
      </c>
      <c r="H176" s="210">
        <f>+'Pool Lbs &amp; Component Lbs'!P190/'Pool Lbs &amp; Component Lbs'!$U190</f>
        <v>0.13996838232717229</v>
      </c>
      <c r="I176" s="179">
        <f>+'Pool Lbs &amp; Component Lbs'!Q190/'Pool Lbs &amp; Component Lbs'!$U190</f>
        <v>3.6968600162628304E-2</v>
      </c>
      <c r="J176" s="179">
        <f>+'Pool Lbs &amp; Component Lbs'!R190/'Pool Lbs &amp; Component Lbs'!$U190</f>
        <v>2.4573863114935326E-2</v>
      </c>
      <c r="K176" s="179">
        <f>+'Pool Lbs &amp; Component Lbs'!S190/'Pool Lbs &amp; Component Lbs'!$U190</f>
        <v>0.33883720983496807</v>
      </c>
      <c r="L176" s="180">
        <f>+'Pool Lbs &amp; Component Lbs'!T190/'Pool Lbs &amp; Component Lbs'!$U190</f>
        <v>0.45965194456029601</v>
      </c>
    </row>
    <row r="177" spans="1:115">
      <c r="A177" s="162">
        <f>+'Pool Lbs &amp; Component Lbs'!A191</f>
        <v>2014</v>
      </c>
      <c r="B177" s="163" t="str">
        <f>+'Pool Lbs &amp; Component Lbs'!B191</f>
        <v>MAY</v>
      </c>
      <c r="C177" s="197">
        <f>+'Pool Lbs &amp; Component Lbs'!I191/'Pool Lbs &amp; Component Lbs'!N191</f>
        <v>7.5772473550482791E-2</v>
      </c>
      <c r="D177" s="178">
        <f>+'Pool Lbs &amp; Component Lbs'!J191/'Pool Lbs &amp; Component Lbs'!N191</f>
        <v>7.7405215587555934E-2</v>
      </c>
      <c r="E177" s="178">
        <f>+'Pool Lbs &amp; Component Lbs'!K191/'Pool Lbs &amp; Component Lbs'!N191</f>
        <v>6.4577377330122851E-2</v>
      </c>
      <c r="F177" s="178">
        <f>+'Pool Lbs &amp; Component Lbs'!L191/'Pool Lbs &amp; Component Lbs'!N191</f>
        <v>0.36939313741488006</v>
      </c>
      <c r="G177" s="204">
        <f>+'Pool Lbs &amp; Component Lbs'!M191/'Pool Lbs &amp; Component Lbs'!N191</f>
        <v>0.41285179611695833</v>
      </c>
      <c r="H177" s="210">
        <f>+'Pool Lbs &amp; Component Lbs'!P191/'Pool Lbs &amp; Component Lbs'!$U191</f>
        <v>0.1391737545528153</v>
      </c>
      <c r="I177" s="179">
        <f>+'Pool Lbs &amp; Component Lbs'!Q191/'Pool Lbs &amp; Component Lbs'!$U191</f>
        <v>3.4753125271993167E-2</v>
      </c>
      <c r="J177" s="179">
        <f>+'Pool Lbs &amp; Component Lbs'!R191/'Pool Lbs &amp; Component Lbs'!$U191</f>
        <v>2.3188361517634804E-2</v>
      </c>
      <c r="K177" s="179">
        <f>+'Pool Lbs &amp; Component Lbs'!S191/'Pool Lbs &amp; Component Lbs'!$U191</f>
        <v>0.34482410220563564</v>
      </c>
      <c r="L177" s="180">
        <f>+'Pool Lbs &amp; Component Lbs'!T191/'Pool Lbs &amp; Component Lbs'!$U191</f>
        <v>0.45806065645192112</v>
      </c>
    </row>
    <row r="178" spans="1:115">
      <c r="A178" s="162">
        <f>+'Pool Lbs &amp; Component Lbs'!A192</f>
        <v>2014</v>
      </c>
      <c r="B178" s="163" t="str">
        <f>+'Pool Lbs &amp; Component Lbs'!B192</f>
        <v>JUNE</v>
      </c>
      <c r="C178" s="197">
        <f>+'Pool Lbs &amp; Component Lbs'!I192/'Pool Lbs &amp; Component Lbs'!N192</f>
        <v>8.0024324701979177E-2</v>
      </c>
      <c r="D178" s="178">
        <f>+'Pool Lbs &amp; Component Lbs'!J192/'Pool Lbs &amp; Component Lbs'!N192</f>
        <v>8.5026107780231744E-2</v>
      </c>
      <c r="E178" s="178">
        <f>+'Pool Lbs &amp; Component Lbs'!K192/'Pool Lbs &amp; Component Lbs'!N192</f>
        <v>7.5168678147496351E-2</v>
      </c>
      <c r="F178" s="178">
        <f>+'Pool Lbs &amp; Component Lbs'!L192/'Pool Lbs &amp; Component Lbs'!N192</f>
        <v>0.34068490253621625</v>
      </c>
      <c r="G178" s="204">
        <f>+'Pool Lbs &amp; Component Lbs'!M192/'Pool Lbs &amp; Component Lbs'!N192</f>
        <v>0.41909598683407651</v>
      </c>
      <c r="H178" s="210">
        <f>+'Pool Lbs &amp; Component Lbs'!P192/'Pool Lbs &amp; Component Lbs'!$U192</f>
        <v>0.13915596988150639</v>
      </c>
      <c r="I178" s="179">
        <f>+'Pool Lbs &amp; Component Lbs'!Q192/'Pool Lbs &amp; Component Lbs'!$U192</f>
        <v>4.0250701306422609E-2</v>
      </c>
      <c r="J178" s="179">
        <f>+'Pool Lbs &amp; Component Lbs'!R192/'Pool Lbs &amp; Component Lbs'!$U192</f>
        <v>2.7747032517092249E-2</v>
      </c>
      <c r="K178" s="179">
        <f>+'Pool Lbs &amp; Component Lbs'!S192/'Pool Lbs &amp; Component Lbs'!$U192</f>
        <v>0.32864805560304799</v>
      </c>
      <c r="L178" s="180">
        <f>+'Pool Lbs &amp; Component Lbs'!T192/'Pool Lbs &amp; Component Lbs'!$U192</f>
        <v>0.46419824069193077</v>
      </c>
    </row>
    <row r="179" spans="1:115">
      <c r="A179" s="162">
        <f>+'Pool Lbs &amp; Component Lbs'!A193</f>
        <v>2014</v>
      </c>
      <c r="B179" s="163" t="str">
        <f>+'Pool Lbs &amp; Component Lbs'!B193</f>
        <v>JULY</v>
      </c>
      <c r="C179" s="197">
        <f>+'Pool Lbs &amp; Component Lbs'!I193/'Pool Lbs &amp; Component Lbs'!N193</f>
        <v>8.5492658406848818E-2</v>
      </c>
      <c r="D179" s="178">
        <f>+'Pool Lbs &amp; Component Lbs'!J193/'Pool Lbs &amp; Component Lbs'!N193</f>
        <v>8.7789041198645459E-2</v>
      </c>
      <c r="E179" s="178">
        <f>+'Pool Lbs &amp; Component Lbs'!K193/'Pool Lbs &amp; Component Lbs'!N193</f>
        <v>9.047313375853458E-2</v>
      </c>
      <c r="F179" s="178">
        <f>+'Pool Lbs &amp; Component Lbs'!L193/'Pool Lbs &amp; Component Lbs'!N193</f>
        <v>0.30849554229851361</v>
      </c>
      <c r="G179" s="204">
        <f>+'Pool Lbs &amp; Component Lbs'!M193/'Pool Lbs &amp; Component Lbs'!N193</f>
        <v>0.42774962433745756</v>
      </c>
      <c r="H179" s="210">
        <f>+'Pool Lbs &amp; Component Lbs'!P193/'Pool Lbs &amp; Component Lbs'!$U193</f>
        <v>0.14485108106974154</v>
      </c>
      <c r="I179" s="179">
        <f>+'Pool Lbs &amp; Component Lbs'!Q193/'Pool Lbs &amp; Component Lbs'!$U193</f>
        <v>3.6531661496696552E-2</v>
      </c>
      <c r="J179" s="179">
        <f>+'Pool Lbs &amp; Component Lbs'!R193/'Pool Lbs &amp; Component Lbs'!$U193</f>
        <v>2.7350685122593033E-2</v>
      </c>
      <c r="K179" s="179">
        <f>+'Pool Lbs &amp; Component Lbs'!S193/'Pool Lbs &amp; Component Lbs'!$U193</f>
        <v>0.31417357327462814</v>
      </c>
      <c r="L179" s="180">
        <f>+'Pool Lbs &amp; Component Lbs'!T193/'Pool Lbs &amp; Component Lbs'!$U193</f>
        <v>0.47709299903634078</v>
      </c>
    </row>
    <row r="180" spans="1:115">
      <c r="A180" s="162">
        <f>+'Pool Lbs &amp; Component Lbs'!A194</f>
        <v>2014</v>
      </c>
      <c r="B180" s="163" t="str">
        <f>+'Pool Lbs &amp; Component Lbs'!B194</f>
        <v>AUGUST</v>
      </c>
      <c r="C180" s="197">
        <f>+'Pool Lbs &amp; Component Lbs'!I194/'Pool Lbs &amp; Component Lbs'!N194</f>
        <v>8.5183058049200372E-2</v>
      </c>
      <c r="D180" s="178">
        <f>+'Pool Lbs &amp; Component Lbs'!J194/'Pool Lbs &amp; Component Lbs'!N194</f>
        <v>8.6293203334568067E-2</v>
      </c>
      <c r="E180" s="178">
        <f>+'Pool Lbs &amp; Component Lbs'!K194/'Pool Lbs &amp; Component Lbs'!N194</f>
        <v>6.9408813041297202E-2</v>
      </c>
      <c r="F180" s="178">
        <f>+'Pool Lbs &amp; Component Lbs'!L194/'Pool Lbs &amp; Component Lbs'!N194</f>
        <v>0.33309459500021982</v>
      </c>
      <c r="G180" s="204">
        <f>+'Pool Lbs &amp; Component Lbs'!M194/'Pool Lbs &amp; Component Lbs'!N194</f>
        <v>0.42602033057471456</v>
      </c>
      <c r="H180" s="210">
        <f>+'Pool Lbs &amp; Component Lbs'!P194/'Pool Lbs &amp; Component Lbs'!$U194</f>
        <v>0.15216782607786958</v>
      </c>
      <c r="I180" s="179">
        <f>+'Pool Lbs &amp; Component Lbs'!Q194/'Pool Lbs &amp; Component Lbs'!$U194</f>
        <v>3.9125601214110191E-2</v>
      </c>
      <c r="J180" s="179">
        <f>+'Pool Lbs &amp; Component Lbs'!R194/'Pool Lbs &amp; Component Lbs'!$U194</f>
        <v>2.3862816438101356E-2</v>
      </c>
      <c r="K180" s="179">
        <f>+'Pool Lbs &amp; Component Lbs'!S194/'Pool Lbs &amp; Component Lbs'!$U194</f>
        <v>0.30319241256066704</v>
      </c>
      <c r="L180" s="180">
        <f>+'Pool Lbs &amp; Component Lbs'!T194/'Pool Lbs &amp; Component Lbs'!$U194</f>
        <v>0.48165134370925183</v>
      </c>
    </row>
    <row r="181" spans="1:115">
      <c r="A181" s="162">
        <f>+'Pool Lbs &amp; Component Lbs'!A195</f>
        <v>2014</v>
      </c>
      <c r="B181" s="163" t="str">
        <f>+'Pool Lbs &amp; Component Lbs'!B195</f>
        <v>SEPTEMBER</v>
      </c>
      <c r="C181" s="197">
        <f>+'Pool Lbs &amp; Component Lbs'!I195/'Pool Lbs &amp; Component Lbs'!N195</f>
        <v>8.5733102716084503E-2</v>
      </c>
      <c r="D181" s="178">
        <f>+'Pool Lbs &amp; Component Lbs'!J195/'Pool Lbs &amp; Component Lbs'!N195</f>
        <v>9.106130354857904E-2</v>
      </c>
      <c r="E181" s="178">
        <f>+'Pool Lbs &amp; Component Lbs'!K195/'Pool Lbs &amp; Component Lbs'!N195</f>
        <v>7.20618958210201E-2</v>
      </c>
      <c r="F181" s="178">
        <f>+'Pool Lbs &amp; Component Lbs'!L195/'Pool Lbs &amp; Component Lbs'!N195</f>
        <v>0.30709058853899041</v>
      </c>
      <c r="G181" s="204">
        <f>+'Pool Lbs &amp; Component Lbs'!M195/'Pool Lbs &amp; Component Lbs'!N195</f>
        <v>0.44405310937532594</v>
      </c>
      <c r="H181" s="210">
        <f>+'Pool Lbs &amp; Component Lbs'!P195/'Pool Lbs &amp; Component Lbs'!$U195</f>
        <v>0.16026560691497219</v>
      </c>
      <c r="I181" s="179">
        <f>+'Pool Lbs &amp; Component Lbs'!Q195/'Pool Lbs &amp; Component Lbs'!$U195</f>
        <v>4.2337878606792015E-2</v>
      </c>
      <c r="J181" s="179">
        <f>+'Pool Lbs &amp; Component Lbs'!R195/'Pool Lbs &amp; Component Lbs'!$U195</f>
        <v>2.3671537970010401E-2</v>
      </c>
      <c r="K181" s="179">
        <f>+'Pool Lbs &amp; Component Lbs'!S195/'Pool Lbs &amp; Component Lbs'!$U195</f>
        <v>0.2791357288742396</v>
      </c>
      <c r="L181" s="180">
        <f>+'Pool Lbs &amp; Component Lbs'!T195/'Pool Lbs &amp; Component Lbs'!$U195</f>
        <v>0.49458924763398576</v>
      </c>
    </row>
    <row r="182" spans="1:115">
      <c r="A182" s="162">
        <f>+'Pool Lbs &amp; Component Lbs'!A196</f>
        <v>2014</v>
      </c>
      <c r="B182" s="163" t="str">
        <f>+'Pool Lbs &amp; Component Lbs'!B196</f>
        <v>OCTOBER</v>
      </c>
      <c r="C182" s="197">
        <f>+'Pool Lbs &amp; Component Lbs'!I196/'Pool Lbs &amp; Component Lbs'!N196</f>
        <v>8.4967558997202569E-2</v>
      </c>
      <c r="D182" s="178">
        <f>+'Pool Lbs &amp; Component Lbs'!J196/'Pool Lbs &amp; Component Lbs'!N196</f>
        <v>7.4178368686872956E-2</v>
      </c>
      <c r="E182" s="178">
        <f>+'Pool Lbs &amp; Component Lbs'!K196/'Pool Lbs &amp; Component Lbs'!N196</f>
        <v>5.4181734481958246E-2</v>
      </c>
      <c r="F182" s="178">
        <f>+'Pool Lbs &amp; Component Lbs'!L196/'Pool Lbs &amp; Component Lbs'!N196</f>
        <v>0.35303043836680859</v>
      </c>
      <c r="G182" s="204">
        <f>+'Pool Lbs &amp; Component Lbs'!M196/'Pool Lbs &amp; Component Lbs'!N196</f>
        <v>0.43364189946715764</v>
      </c>
      <c r="H182" s="210">
        <f>+'Pool Lbs &amp; Component Lbs'!P196/'Pool Lbs &amp; Component Lbs'!$U196</f>
        <v>0.16312060889103913</v>
      </c>
      <c r="I182" s="179">
        <f>+'Pool Lbs &amp; Component Lbs'!Q196/'Pool Lbs &amp; Component Lbs'!$U196</f>
        <v>3.981809463493223E-2</v>
      </c>
      <c r="J182" s="179">
        <f>+'Pool Lbs &amp; Component Lbs'!R196/'Pool Lbs &amp; Component Lbs'!$U196</f>
        <v>2.2044623852974381E-2</v>
      </c>
      <c r="K182" s="179">
        <f>+'Pool Lbs &amp; Component Lbs'!S196/'Pool Lbs &amp; Component Lbs'!$U196</f>
        <v>0.2836558173224788</v>
      </c>
      <c r="L182" s="180">
        <f>+'Pool Lbs &amp; Component Lbs'!T196/'Pool Lbs &amp; Component Lbs'!$U196</f>
        <v>0.49136085529857543</v>
      </c>
    </row>
    <row r="183" spans="1:115">
      <c r="A183" s="162">
        <f>+'Pool Lbs &amp; Component Lbs'!A197</f>
        <v>2014</v>
      </c>
      <c r="B183" s="163" t="str">
        <f>+'Pool Lbs &amp; Component Lbs'!B197</f>
        <v>NOVEMBER</v>
      </c>
      <c r="C183" s="197">
        <f>+'Pool Lbs &amp; Component Lbs'!I197/'Pool Lbs &amp; Component Lbs'!N197</f>
        <v>7.9931726962620325E-2</v>
      </c>
      <c r="D183" s="178">
        <f>+'Pool Lbs &amp; Component Lbs'!J197/'Pool Lbs &amp; Component Lbs'!N197</f>
        <v>8.2756602938493379E-2</v>
      </c>
      <c r="E183" s="178">
        <f>+'Pool Lbs &amp; Component Lbs'!K197/'Pool Lbs &amp; Component Lbs'!N197</f>
        <v>4.2394209959962251E-2</v>
      </c>
      <c r="F183" s="178">
        <f>+'Pool Lbs &amp; Component Lbs'!L197/'Pool Lbs &amp; Component Lbs'!N197</f>
        <v>0.35675254427180209</v>
      </c>
      <c r="G183" s="204">
        <f>+'Pool Lbs &amp; Component Lbs'!M197/'Pool Lbs &amp; Component Lbs'!N197</f>
        <v>0.43816491586712197</v>
      </c>
      <c r="H183" s="210">
        <f>+'Pool Lbs &amp; Component Lbs'!P197/'Pool Lbs &amp; Component Lbs'!$U197</f>
        <v>0.15366469794869658</v>
      </c>
      <c r="I183" s="179">
        <f>+'Pool Lbs &amp; Component Lbs'!Q197/'Pool Lbs &amp; Component Lbs'!$U197</f>
        <v>3.8122764858418597E-2</v>
      </c>
      <c r="J183" s="179">
        <f>+'Pool Lbs &amp; Component Lbs'!R197/'Pool Lbs &amp; Component Lbs'!$U197</f>
        <v>1.9554231824293441E-2</v>
      </c>
      <c r="K183" s="179">
        <f>+'Pool Lbs &amp; Component Lbs'!S197/'Pool Lbs &amp; Component Lbs'!$U197</f>
        <v>0.30412824527571575</v>
      </c>
      <c r="L183" s="180">
        <f>+'Pool Lbs &amp; Component Lbs'!T197/'Pool Lbs &amp; Component Lbs'!$U197</f>
        <v>0.48453006009287564</v>
      </c>
    </row>
    <row r="184" spans="1:115" ht="15.75" thickBot="1">
      <c r="A184" s="164">
        <f>+'Pool Lbs &amp; Component Lbs'!A198</f>
        <v>2014</v>
      </c>
      <c r="B184" s="165" t="str">
        <f>+'Pool Lbs &amp; Component Lbs'!B198</f>
        <v>DECEMBER</v>
      </c>
      <c r="C184" s="201">
        <f>+'Pool Lbs &amp; Component Lbs'!I198/'Pool Lbs &amp; Component Lbs'!N198</f>
        <v>8.3134036117233426E-2</v>
      </c>
      <c r="D184" s="190">
        <f>+'Pool Lbs &amp; Component Lbs'!J198/'Pool Lbs &amp; Component Lbs'!N198</f>
        <v>7.6544199342435643E-2</v>
      </c>
      <c r="E184" s="190">
        <f>+'Pool Lbs &amp; Component Lbs'!K198/'Pool Lbs &amp; Component Lbs'!N198</f>
        <v>3.7111811088968549E-2</v>
      </c>
      <c r="F184" s="190">
        <f>+'Pool Lbs &amp; Component Lbs'!L198/'Pool Lbs &amp; Component Lbs'!N198</f>
        <v>0.37056086962346663</v>
      </c>
      <c r="G184" s="208">
        <f>+'Pool Lbs &amp; Component Lbs'!M198/'Pool Lbs &amp; Component Lbs'!N198</f>
        <v>0.43264908382789574</v>
      </c>
      <c r="H184" s="214">
        <f>+'Pool Lbs &amp; Component Lbs'!P198/'Pool Lbs &amp; Component Lbs'!$U198</f>
        <v>0.15555964213289902</v>
      </c>
      <c r="I184" s="191">
        <f>+'Pool Lbs &amp; Component Lbs'!Q198/'Pool Lbs &amp; Component Lbs'!$U198</f>
        <v>3.9015768737203783E-2</v>
      </c>
      <c r="J184" s="191">
        <f>+'Pool Lbs &amp; Component Lbs'!R198/'Pool Lbs &amp; Component Lbs'!$U198</f>
        <v>1.4226865067957263E-2</v>
      </c>
      <c r="K184" s="191">
        <f>+'Pool Lbs &amp; Component Lbs'!S198/'Pool Lbs &amp; Component Lbs'!$U198</f>
        <v>0.30398850555040602</v>
      </c>
      <c r="L184" s="192">
        <f>+'Pool Lbs &amp; Component Lbs'!T198/'Pool Lbs &amp; Component Lbs'!$U198</f>
        <v>0.48720921851153393</v>
      </c>
    </row>
    <row r="185" spans="1:115" ht="9" customHeight="1" thickBot="1"/>
    <row r="186" spans="1:115" s="19" customFormat="1" ht="21.75" customHeight="1" thickTop="1">
      <c r="A186" s="266" t="s">
        <v>45</v>
      </c>
      <c r="B186" s="266"/>
      <c r="C186" s="266"/>
      <c r="D186" s="266"/>
      <c r="E186" s="266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</row>
    <row r="187" spans="1:115" ht="18" customHeight="1">
      <c r="A187" s="35" t="s">
        <v>38</v>
      </c>
      <c r="B187" s="10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</row>
    <row r="188" spans="1:115">
      <c r="A188" s="221" t="s">
        <v>49</v>
      </c>
      <c r="B188" s="221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</row>
    <row r="189" spans="1:115">
      <c r="A189" s="218" t="s">
        <v>50</v>
      </c>
      <c r="B189" s="218"/>
      <c r="C189" s="218"/>
      <c r="D189" s="218"/>
      <c r="E189" s="218"/>
      <c r="F189" s="218"/>
      <c r="G189" s="218"/>
      <c r="H189" s="218"/>
    </row>
    <row r="190" spans="1:115">
      <c r="A190" s="10" t="s">
        <v>55</v>
      </c>
      <c r="B190" s="10"/>
      <c r="C190" s="10"/>
      <c r="D190" s="10"/>
      <c r="E190" s="10"/>
    </row>
  </sheetData>
  <mergeCells count="9">
    <mergeCell ref="A1:O1"/>
    <mergeCell ref="C2:L2"/>
    <mergeCell ref="C3:G3"/>
    <mergeCell ref="H3:L3"/>
    <mergeCell ref="A188:Q188"/>
    <mergeCell ref="A189:H189"/>
    <mergeCell ref="A2:A4"/>
    <mergeCell ref="B2:B4"/>
    <mergeCell ref="A186:E1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Pool Lbs &amp; Component Lbs</vt:lpstr>
      <vt:lpstr>Component Revenue</vt:lpstr>
      <vt:lpstr>Fortification &amp; TA</vt:lpstr>
      <vt:lpstr>Pool Percentages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dshippelhoute</dc:creator>
  <cp:lastModifiedBy>Karen Dapper</cp:lastModifiedBy>
  <cp:lastPrinted>2015-07-16T14:58:50Z</cp:lastPrinted>
  <dcterms:created xsi:type="dcterms:W3CDTF">2015-04-21T22:28:30Z</dcterms:created>
  <dcterms:modified xsi:type="dcterms:W3CDTF">2015-09-15T22:14:18Z</dcterms:modified>
</cp:coreProperties>
</file>